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Espace_fac\Licence_MSTV\Accréditation_Mention\Accreditation_2021\Echanges_CFVU_avril22\"/>
    </mc:Choice>
  </mc:AlternateContent>
  <workbookProtection workbookAlgorithmName="SHA-512" workbookHashValue="zh9sMu0K7zgLCiKLnnxfZLbTkX0UyVkAbSZM5o0W8ZZ7Ewlc/Ud+KH1JldA/hHfpDL5CWb1AEdRRgn5rCkgOGw==" workbookSaltValue="j1P+CWw/7QE4vbt3EfVGQQ==" workbookSpinCount="100000" lockStructure="1"/>
  <bookViews>
    <workbookView xWindow="0" yWindow="0" windowWidth="23040" windowHeight="8328"/>
  </bookViews>
  <sheets>
    <sheet name="Enseignements" sheetId="39" r:id="rId1"/>
    <sheet name="Recettes et simulat" sheetId="40" r:id="rId2"/>
    <sheet name="Budget détaillé" sheetId="41" r:id="rId3"/>
    <sheet name="Paramétrage" sheetId="36" r:id="rId4"/>
    <sheet name="Budget détaillé heures comp" sheetId="42" state="hidden" r:id="rId5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50" i="39" l="1"/>
  <c r="AC50" i="39" s="1"/>
  <c r="AD51" i="39"/>
  <c r="AC51" i="39" s="1"/>
  <c r="AD52" i="39"/>
  <c r="AC52" i="39" s="1"/>
  <c r="AD53" i="39"/>
  <c r="AC53" i="39" s="1"/>
  <c r="AD54" i="39"/>
  <c r="AC54" i="39" s="1"/>
  <c r="AD55" i="39"/>
  <c r="AC55" i="39" s="1"/>
  <c r="AD56" i="39"/>
  <c r="AC56" i="39" s="1"/>
  <c r="AD57" i="39"/>
  <c r="AC57" i="39" s="1"/>
  <c r="AC58" i="39"/>
  <c r="AD58" i="39"/>
  <c r="AD59" i="39"/>
  <c r="AC59" i="39" s="1"/>
  <c r="AC60" i="39"/>
  <c r="AD60" i="39"/>
  <c r="AD61" i="39"/>
  <c r="AC61" i="39" s="1"/>
  <c r="AD62" i="39"/>
  <c r="AC62" i="39" s="1"/>
  <c r="AC63" i="39"/>
  <c r="AD63" i="39"/>
  <c r="AD64" i="39"/>
  <c r="AC64" i="39" s="1"/>
  <c r="AD65" i="39"/>
  <c r="AC65" i="39" s="1"/>
  <c r="AD66" i="39"/>
  <c r="AC66" i="39" s="1"/>
  <c r="AD67" i="39"/>
  <c r="AC67" i="39" s="1"/>
  <c r="AD68" i="39"/>
  <c r="AC68" i="39" s="1"/>
  <c r="AC69" i="39"/>
  <c r="AD69" i="39"/>
  <c r="AC70" i="39"/>
  <c r="AD70" i="39"/>
  <c r="AD71" i="39"/>
  <c r="AC71" i="39" s="1"/>
  <c r="AC72" i="39"/>
  <c r="AD72" i="39"/>
  <c r="AC73" i="39"/>
  <c r="AD73" i="39"/>
  <c r="AD74" i="39"/>
  <c r="AC74" i="39" s="1"/>
  <c r="AD75" i="39"/>
  <c r="AC75" i="39" s="1"/>
  <c r="AC76" i="39"/>
  <c r="AD76" i="39"/>
  <c r="AC77" i="39"/>
  <c r="AD77" i="39"/>
  <c r="AC78" i="39"/>
  <c r="AD78" i="39"/>
  <c r="AC79" i="39"/>
  <c r="AD79" i="39"/>
  <c r="AC80" i="39"/>
  <c r="AD80" i="39"/>
  <c r="AC81" i="39"/>
  <c r="AD81" i="39"/>
  <c r="AC82" i="39"/>
  <c r="AD82" i="39"/>
  <c r="AC83" i="39"/>
  <c r="AD83" i="39"/>
  <c r="AC84" i="39"/>
  <c r="AD84" i="39"/>
  <c r="AC85" i="39"/>
  <c r="AD85" i="39"/>
  <c r="AC86" i="39"/>
  <c r="AD86" i="39"/>
  <c r="AC87" i="39"/>
  <c r="AD87" i="39"/>
  <c r="AC88" i="39"/>
  <c r="AD88" i="39"/>
  <c r="AC49" i="39"/>
  <c r="Q58" i="39" l="1"/>
  <c r="Q60" i="39"/>
  <c r="Q63" i="39"/>
  <c r="Q69" i="39"/>
  <c r="Q76" i="39"/>
  <c r="Q77" i="39"/>
  <c r="Q78" i="39"/>
  <c r="Q79" i="39"/>
  <c r="Q80" i="39"/>
  <c r="Q81" i="39"/>
  <c r="Q82" i="39"/>
  <c r="Q83" i="39"/>
  <c r="Q84" i="39"/>
  <c r="Q85" i="39"/>
  <c r="Q86" i="39"/>
  <c r="Q87" i="39"/>
  <c r="Q88" i="39"/>
  <c r="Q30" i="39"/>
  <c r="Q31" i="39"/>
  <c r="Q32" i="39"/>
  <c r="Q33" i="39"/>
  <c r="Q34" i="39"/>
  <c r="Q35" i="39"/>
  <c r="Q36" i="39"/>
  <c r="Q37" i="39"/>
  <c r="Q38" i="39"/>
  <c r="Q39" i="39"/>
  <c r="Q40" i="39"/>
  <c r="Q41" i="39"/>
  <c r="Q42" i="39"/>
  <c r="Q43" i="39"/>
  <c r="Q44" i="39"/>
  <c r="Q45" i="39"/>
  <c r="Q46" i="39"/>
  <c r="Q47" i="39"/>
  <c r="X89" i="39" l="1"/>
  <c r="V89" i="39"/>
  <c r="R89" i="39"/>
  <c r="X48" i="39"/>
  <c r="R48" i="39" l="1"/>
  <c r="R90" i="39" l="1"/>
  <c r="X7" i="39"/>
  <c r="G19" i="41" l="1"/>
  <c r="P88" i="39"/>
  <c r="P87" i="39"/>
  <c r="P86" i="39"/>
  <c r="P85" i="39"/>
  <c r="P84" i="39"/>
  <c r="P83" i="39"/>
  <c r="P82" i="39"/>
  <c r="P81" i="39"/>
  <c r="P80" i="39"/>
  <c r="P79" i="39"/>
  <c r="P78" i="39"/>
  <c r="P77" i="39"/>
  <c r="P76" i="39"/>
  <c r="P75" i="39"/>
  <c r="Q75" i="39" s="1"/>
  <c r="S75" i="39" s="1"/>
  <c r="P74" i="39"/>
  <c r="Q74" i="39" s="1"/>
  <c r="S74" i="39" s="1"/>
  <c r="P73" i="39"/>
  <c r="Q73" i="39" s="1"/>
  <c r="S73" i="39" s="1"/>
  <c r="P72" i="39"/>
  <c r="Q72" i="39" s="1"/>
  <c r="S72" i="39" s="1"/>
  <c r="P71" i="39"/>
  <c r="Q71" i="39" s="1"/>
  <c r="S71" i="39" s="1"/>
  <c r="P70" i="39"/>
  <c r="Q70" i="39" s="1"/>
  <c r="S70" i="39" s="1"/>
  <c r="P69" i="39"/>
  <c r="P68" i="39"/>
  <c r="Q68" i="39" s="1"/>
  <c r="S68" i="39" s="1"/>
  <c r="P67" i="39"/>
  <c r="Q67" i="39" s="1"/>
  <c r="S67" i="39" s="1"/>
  <c r="P66" i="39"/>
  <c r="Q66" i="39" s="1"/>
  <c r="S66" i="39" s="1"/>
  <c r="P65" i="39"/>
  <c r="Q65" i="39" s="1"/>
  <c r="S65" i="39" s="1"/>
  <c r="P64" i="39"/>
  <c r="Q64" i="39" s="1"/>
  <c r="S64" i="39" s="1"/>
  <c r="P63" i="39"/>
  <c r="P62" i="39"/>
  <c r="Q62" i="39" s="1"/>
  <c r="S62" i="39" s="1"/>
  <c r="P61" i="39"/>
  <c r="Q61" i="39" s="1"/>
  <c r="S61" i="39" s="1"/>
  <c r="P60" i="39"/>
  <c r="P59" i="39"/>
  <c r="Q59" i="39" s="1"/>
  <c r="S59" i="39" s="1"/>
  <c r="P58" i="39"/>
  <c r="P57" i="39"/>
  <c r="P56" i="39"/>
  <c r="Q56" i="39" s="1"/>
  <c r="S56" i="39" s="1"/>
  <c r="P55" i="39"/>
  <c r="P54" i="39"/>
  <c r="P53" i="39"/>
  <c r="P52" i="39"/>
  <c r="P51" i="39"/>
  <c r="P50" i="39"/>
  <c r="P49" i="39"/>
  <c r="Q49" i="39" s="1"/>
  <c r="P47" i="39"/>
  <c r="P46" i="39"/>
  <c r="P45" i="39"/>
  <c r="P44" i="39"/>
  <c r="P43" i="39"/>
  <c r="P42" i="39"/>
  <c r="P41" i="39"/>
  <c r="P40" i="39"/>
  <c r="P39" i="39"/>
  <c r="P38" i="39"/>
  <c r="P37" i="39"/>
  <c r="P36" i="39"/>
  <c r="P35" i="39"/>
  <c r="P34" i="39"/>
  <c r="P33" i="39"/>
  <c r="P32" i="39"/>
  <c r="P31" i="39"/>
  <c r="P30" i="39"/>
  <c r="P29" i="39"/>
  <c r="Q29" i="39" s="1"/>
  <c r="S29" i="39" s="1"/>
  <c r="P28" i="39"/>
  <c r="Q28" i="39" s="1"/>
  <c r="S28" i="39" s="1"/>
  <c r="P9" i="39"/>
  <c r="Q9" i="39" s="1"/>
  <c r="P10" i="39"/>
  <c r="Q10" i="39" s="1"/>
  <c r="P11" i="39"/>
  <c r="Q11" i="39" s="1"/>
  <c r="P12" i="39"/>
  <c r="Q12" i="39" s="1"/>
  <c r="P13" i="39"/>
  <c r="Q13" i="39" s="1"/>
  <c r="P14" i="39"/>
  <c r="Q14" i="39" s="1"/>
  <c r="P15" i="39"/>
  <c r="Q15" i="39" s="1"/>
  <c r="P16" i="39"/>
  <c r="Q16" i="39" s="1"/>
  <c r="P17" i="39"/>
  <c r="Q17" i="39" s="1"/>
  <c r="P18" i="39"/>
  <c r="Q18" i="39" s="1"/>
  <c r="P19" i="39"/>
  <c r="Q19" i="39" s="1"/>
  <c r="P20" i="39"/>
  <c r="P21" i="39"/>
  <c r="Q21" i="39" s="1"/>
  <c r="S21" i="39" s="1"/>
  <c r="P22" i="39"/>
  <c r="P23" i="39"/>
  <c r="Q23" i="39" s="1"/>
  <c r="S23" i="39" s="1"/>
  <c r="P24" i="39"/>
  <c r="Q24" i="39" s="1"/>
  <c r="S24" i="39" s="1"/>
  <c r="P25" i="39"/>
  <c r="Q25" i="39" s="1"/>
  <c r="S25" i="39" s="1"/>
  <c r="P26" i="39"/>
  <c r="Q26" i="39" s="1"/>
  <c r="S26" i="39" s="1"/>
  <c r="P27" i="39"/>
  <c r="Q27" i="39" s="1"/>
  <c r="S27" i="39" s="1"/>
  <c r="P8" i="39"/>
  <c r="Q8" i="39" s="1"/>
  <c r="T8" i="39" s="1"/>
  <c r="S60" i="39"/>
  <c r="S58" i="39"/>
  <c r="S88" i="39"/>
  <c r="S87" i="39"/>
  <c r="S86" i="39"/>
  <c r="S85" i="39"/>
  <c r="S84" i="39"/>
  <c r="S83" i="39"/>
  <c r="S82" i="39"/>
  <c r="S81" i="39"/>
  <c r="S80" i="39"/>
  <c r="S79" i="39"/>
  <c r="S78" i="39"/>
  <c r="S77" i="39"/>
  <c r="S76" i="39"/>
  <c r="S69" i="39"/>
  <c r="S63" i="39"/>
  <c r="S47" i="39"/>
  <c r="S46" i="39"/>
  <c r="S45" i="39"/>
  <c r="S44" i="39"/>
  <c r="S43" i="39"/>
  <c r="S42" i="39"/>
  <c r="S41" i="39"/>
  <c r="S40" i="39"/>
  <c r="S39" i="39"/>
  <c r="S38" i="39"/>
  <c r="S37" i="39"/>
  <c r="S36" i="39"/>
  <c r="S35" i="39"/>
  <c r="S34" i="39"/>
  <c r="S33" i="39"/>
  <c r="S32" i="39"/>
  <c r="S31" i="39"/>
  <c r="S30" i="39"/>
  <c r="Q57" i="39" l="1"/>
  <c r="S57" i="39" s="1"/>
  <c r="Q50" i="39"/>
  <c r="S50" i="39" s="1"/>
  <c r="Q52" i="39"/>
  <c r="S52" i="39" s="1"/>
  <c r="Q53" i="39"/>
  <c r="S53" i="39" s="1"/>
  <c r="Q54" i="39"/>
  <c r="Q22" i="39"/>
  <c r="S22" i="39" s="1"/>
  <c r="Q55" i="39"/>
  <c r="S55" i="39" s="1"/>
  <c r="Q51" i="39"/>
  <c r="S51" i="39" s="1"/>
  <c r="Q20" i="39"/>
  <c r="S20" i="39" s="1"/>
  <c r="S19" i="39"/>
  <c r="S18" i="39"/>
  <c r="S10" i="39"/>
  <c r="S17" i="39"/>
  <c r="S9" i="39"/>
  <c r="S16" i="39"/>
  <c r="S15" i="39"/>
  <c r="S14" i="39"/>
  <c r="S13" i="39"/>
  <c r="S49" i="39"/>
  <c r="S12" i="39"/>
  <c r="S11" i="39"/>
  <c r="S8" i="39"/>
  <c r="Q89" i="39" l="1"/>
  <c r="S54" i="39"/>
  <c r="S89" i="39" s="1"/>
  <c r="T10" i="39"/>
  <c r="Q48" i="39"/>
  <c r="S48" i="39"/>
  <c r="K41" i="42"/>
  <c r="I38" i="42"/>
  <c r="I39" i="42"/>
  <c r="I40" i="42"/>
  <c r="I41" i="42"/>
  <c r="I42" i="42"/>
  <c r="I43" i="42"/>
  <c r="I44" i="42"/>
  <c r="I37" i="42"/>
  <c r="I36" i="42"/>
  <c r="G30" i="42"/>
  <c r="G31" i="42"/>
  <c r="G29" i="42"/>
  <c r="H19" i="42"/>
  <c r="H17" i="42"/>
  <c r="O72" i="42"/>
  <c r="N72" i="42"/>
  <c r="M72" i="42"/>
  <c r="L72" i="42"/>
  <c r="P70" i="42"/>
  <c r="P69" i="42"/>
  <c r="P64" i="42"/>
  <c r="O64" i="42"/>
  <c r="N64" i="42"/>
  <c r="M64" i="42"/>
  <c r="L64" i="42"/>
  <c r="P58" i="42"/>
  <c r="P57" i="42"/>
  <c r="P56" i="42"/>
  <c r="P55" i="42" s="1"/>
  <c r="O55" i="42"/>
  <c r="N55" i="42"/>
  <c r="M55" i="42"/>
  <c r="L55" i="42"/>
  <c r="P54" i="42"/>
  <c r="P53" i="42"/>
  <c r="P52" i="42"/>
  <c r="P51" i="42"/>
  <c r="O50" i="42"/>
  <c r="N50" i="42"/>
  <c r="M50" i="42"/>
  <c r="M59" i="42" s="1"/>
  <c r="L50" i="42"/>
  <c r="L59" i="42" s="1"/>
  <c r="O49" i="42"/>
  <c r="N49" i="42"/>
  <c r="M49" i="42"/>
  <c r="L49" i="42"/>
  <c r="P44" i="42"/>
  <c r="P43" i="42"/>
  <c r="P42" i="42"/>
  <c r="P41" i="42"/>
  <c r="P40" i="42"/>
  <c r="P39" i="42"/>
  <c r="P38" i="42"/>
  <c r="P37" i="42"/>
  <c r="P36" i="42"/>
  <c r="O35" i="42"/>
  <c r="N35" i="42"/>
  <c r="M35" i="42"/>
  <c r="L35" i="42"/>
  <c r="O32" i="42"/>
  <c r="N32" i="42"/>
  <c r="M32" i="42"/>
  <c r="L32" i="42"/>
  <c r="P31" i="42"/>
  <c r="P30" i="42"/>
  <c r="P29" i="42"/>
  <c r="H29" i="42"/>
  <c r="U28" i="42"/>
  <c r="T28" i="42"/>
  <c r="S28" i="42"/>
  <c r="R28" i="42"/>
  <c r="O27" i="42"/>
  <c r="N27" i="42"/>
  <c r="M27" i="42"/>
  <c r="L27" i="42"/>
  <c r="P26" i="42"/>
  <c r="P25" i="42"/>
  <c r="P24" i="42"/>
  <c r="P23" i="42"/>
  <c r="P22" i="42"/>
  <c r="P27" i="42" s="1"/>
  <c r="O20" i="42"/>
  <c r="N20" i="42"/>
  <c r="N14" i="42" s="1"/>
  <c r="M20" i="42"/>
  <c r="M14" i="42" s="1"/>
  <c r="L20" i="42"/>
  <c r="P19" i="42"/>
  <c r="P18" i="42"/>
  <c r="P17" i="42"/>
  <c r="P16" i="42"/>
  <c r="K8" i="42"/>
  <c r="J8" i="42"/>
  <c r="H7" i="42"/>
  <c r="E7" i="42"/>
  <c r="H6" i="42"/>
  <c r="D6" i="42"/>
  <c r="H5" i="42"/>
  <c r="D5" i="42"/>
  <c r="L46" i="42" l="1"/>
  <c r="N59" i="42"/>
  <c r="O59" i="42"/>
  <c r="P50" i="42"/>
  <c r="O14" i="42"/>
  <c r="M46" i="42"/>
  <c r="L62" i="42"/>
  <c r="O46" i="42"/>
  <c r="Q90" i="39"/>
  <c r="S90" i="39"/>
  <c r="G32" i="42"/>
  <c r="I29" i="42"/>
  <c r="R29" i="42" s="1"/>
  <c r="P59" i="42"/>
  <c r="P32" i="42"/>
  <c r="N46" i="42"/>
  <c r="P35" i="42"/>
  <c r="M62" i="42"/>
  <c r="M75" i="42" s="1"/>
  <c r="P72" i="42"/>
  <c r="P20" i="42"/>
  <c r="L14" i="42"/>
  <c r="O62" i="42"/>
  <c r="I35" i="42"/>
  <c r="I45" i="42" s="1"/>
  <c r="L75" i="42"/>
  <c r="N62" i="42"/>
  <c r="N75" i="42" s="1"/>
  <c r="O75" i="42"/>
  <c r="P14" i="42" l="1"/>
  <c r="P46" i="42"/>
  <c r="P62" i="42" s="1"/>
  <c r="P75" i="42" s="1"/>
  <c r="S29" i="42"/>
  <c r="U29" i="42"/>
  <c r="T29" i="42"/>
  <c r="L64" i="41" l="1"/>
  <c r="M64" i="41"/>
  <c r="N64" i="41"/>
  <c r="O64" i="41"/>
  <c r="P64" i="41"/>
  <c r="K8" i="41" l="1"/>
  <c r="J8" i="41"/>
  <c r="H7" i="41"/>
  <c r="E7" i="41"/>
  <c r="H6" i="41"/>
  <c r="D6" i="41"/>
  <c r="H5" i="41"/>
  <c r="H51" i="41" s="1"/>
  <c r="D5" i="41"/>
  <c r="G19" i="42"/>
  <c r="I19" i="42" s="1"/>
  <c r="Y88" i="39"/>
  <c r="Y87" i="39"/>
  <c r="Y86" i="39"/>
  <c r="Y85" i="39"/>
  <c r="Y84" i="39"/>
  <c r="Y83" i="39"/>
  <c r="Y82" i="39"/>
  <c r="Y81" i="39"/>
  <c r="Y80" i="39"/>
  <c r="Y79" i="39"/>
  <c r="Y78" i="39"/>
  <c r="Y77" i="39"/>
  <c r="Y76" i="39"/>
  <c r="Y75" i="39"/>
  <c r="Y74" i="39"/>
  <c r="Y73" i="39"/>
  <c r="Y72" i="39"/>
  <c r="Y71" i="39"/>
  <c r="Y70" i="39"/>
  <c r="Y69" i="39"/>
  <c r="Y68" i="39"/>
  <c r="Y67" i="39"/>
  <c r="Y66" i="39"/>
  <c r="Y65" i="39"/>
  <c r="Y64" i="39"/>
  <c r="Y63" i="39"/>
  <c r="Y62" i="39"/>
  <c r="Y61" i="39"/>
  <c r="Y60" i="39"/>
  <c r="Y56" i="39"/>
  <c r="Y47" i="39"/>
  <c r="Y46" i="39"/>
  <c r="Y45" i="39"/>
  <c r="Y44" i="39"/>
  <c r="Y43" i="39"/>
  <c r="Y42" i="39"/>
  <c r="Y41" i="39"/>
  <c r="Y40" i="39"/>
  <c r="Y39" i="39"/>
  <c r="Y38" i="39"/>
  <c r="Y37" i="39"/>
  <c r="Y36" i="39"/>
  <c r="Y35" i="39"/>
  <c r="Y34" i="39"/>
  <c r="Y33" i="39"/>
  <c r="Y32" i="39"/>
  <c r="Y31" i="39"/>
  <c r="Y30" i="39"/>
  <c r="Y29" i="39"/>
  <c r="Y28" i="39"/>
  <c r="Y10" i="39"/>
  <c r="Y24" i="39"/>
  <c r="Y25" i="39"/>
  <c r="Y26" i="39"/>
  <c r="Y27" i="39"/>
  <c r="Y8" i="39"/>
  <c r="H57" i="41" l="1"/>
  <c r="H54" i="41"/>
  <c r="H53" i="41"/>
  <c r="H58" i="41"/>
  <c r="H56" i="41"/>
  <c r="H52" i="41"/>
  <c r="Q19" i="42"/>
  <c r="V19" i="42" s="1"/>
  <c r="S19" i="42"/>
  <c r="T19" i="42"/>
  <c r="U19" i="42"/>
  <c r="R19" i="42"/>
  <c r="O72" i="41" l="1"/>
  <c r="N72" i="41"/>
  <c r="M72" i="41"/>
  <c r="L72" i="41"/>
  <c r="P70" i="41"/>
  <c r="P69" i="41"/>
  <c r="P58" i="41"/>
  <c r="P57" i="41"/>
  <c r="P56" i="41"/>
  <c r="O55" i="41"/>
  <c r="N55" i="41"/>
  <c r="M55" i="41"/>
  <c r="L55" i="41"/>
  <c r="P54" i="41"/>
  <c r="P53" i="41"/>
  <c r="P52" i="41"/>
  <c r="P51" i="41"/>
  <c r="O50" i="41"/>
  <c r="O59" i="41" s="1"/>
  <c r="N50" i="41"/>
  <c r="M50" i="41"/>
  <c r="M59" i="41" s="1"/>
  <c r="L50" i="41"/>
  <c r="L59" i="41" s="1"/>
  <c r="O49" i="41"/>
  <c r="N49" i="41"/>
  <c r="M49" i="41"/>
  <c r="L49" i="41"/>
  <c r="P44" i="41"/>
  <c r="P43" i="41"/>
  <c r="P42" i="41"/>
  <c r="K42" i="41"/>
  <c r="P41" i="41"/>
  <c r="J41" i="41"/>
  <c r="J41" i="42" s="1"/>
  <c r="P40" i="41"/>
  <c r="P39" i="41"/>
  <c r="P38" i="41"/>
  <c r="P37" i="41"/>
  <c r="P36" i="41"/>
  <c r="O35" i="41"/>
  <c r="N35" i="41"/>
  <c r="M35" i="41"/>
  <c r="L35" i="41"/>
  <c r="I35" i="41"/>
  <c r="O32" i="41"/>
  <c r="N32" i="41"/>
  <c r="M32" i="41"/>
  <c r="L32" i="41"/>
  <c r="G32" i="41"/>
  <c r="P31" i="41"/>
  <c r="P30" i="41"/>
  <c r="P29" i="41"/>
  <c r="H29" i="41"/>
  <c r="I29" i="41" s="1"/>
  <c r="U28" i="41"/>
  <c r="T28" i="41"/>
  <c r="S28" i="41"/>
  <c r="R28" i="41"/>
  <c r="O27" i="41"/>
  <c r="N27" i="41"/>
  <c r="M27" i="41"/>
  <c r="L27" i="41"/>
  <c r="P26" i="41"/>
  <c r="P25" i="41"/>
  <c r="P24" i="41"/>
  <c r="P23" i="41"/>
  <c r="P22" i="41"/>
  <c r="O20" i="41"/>
  <c r="N20" i="41"/>
  <c r="M20" i="41"/>
  <c r="L20" i="41"/>
  <c r="P19" i="41"/>
  <c r="I19" i="41"/>
  <c r="P18" i="41"/>
  <c r="P17" i="41"/>
  <c r="P16" i="41"/>
  <c r="F39" i="40"/>
  <c r="K28" i="40"/>
  <c r="F28" i="40"/>
  <c r="K27" i="40"/>
  <c r="H27" i="40"/>
  <c r="G27" i="40"/>
  <c r="J27" i="40" s="1"/>
  <c r="K26" i="40"/>
  <c r="H26" i="40"/>
  <c r="G26" i="40"/>
  <c r="J26" i="40" s="1"/>
  <c r="K25" i="40"/>
  <c r="H25" i="40"/>
  <c r="G25" i="40"/>
  <c r="J25" i="40" s="1"/>
  <c r="K24" i="40"/>
  <c r="H24" i="40"/>
  <c r="G24" i="40"/>
  <c r="J24" i="40" s="1"/>
  <c r="K23" i="40"/>
  <c r="H23" i="40"/>
  <c r="G23" i="40"/>
  <c r="J23" i="40" s="1"/>
  <c r="K22" i="40"/>
  <c r="H22" i="40"/>
  <c r="G22" i="40"/>
  <c r="J22" i="40" s="1"/>
  <c r="K21" i="40"/>
  <c r="H21" i="40"/>
  <c r="G21" i="40"/>
  <c r="J21" i="40" s="1"/>
  <c r="K20" i="40"/>
  <c r="H20" i="40"/>
  <c r="G20" i="40"/>
  <c r="J20" i="40" s="1"/>
  <c r="H19" i="40"/>
  <c r="G19" i="40"/>
  <c r="J19" i="40" s="1"/>
  <c r="K19" i="40" s="1"/>
  <c r="H18" i="40"/>
  <c r="G18" i="40"/>
  <c r="L14" i="41" l="1"/>
  <c r="G28" i="40"/>
  <c r="H28" i="40" s="1"/>
  <c r="K70" i="42"/>
  <c r="I70" i="42" s="1"/>
  <c r="K70" i="41"/>
  <c r="I70" i="41" s="1"/>
  <c r="J42" i="41"/>
  <c r="J42" i="42" s="1"/>
  <c r="K42" i="42"/>
  <c r="F16" i="40"/>
  <c r="G16" i="40" s="1"/>
  <c r="J69" i="42" s="1"/>
  <c r="E8" i="42"/>
  <c r="E8" i="41"/>
  <c r="K40" i="41" s="1"/>
  <c r="J18" i="40"/>
  <c r="P55" i="41"/>
  <c r="P72" i="41"/>
  <c r="O14" i="41"/>
  <c r="M14" i="41"/>
  <c r="P35" i="41"/>
  <c r="N59" i="41"/>
  <c r="P20" i="41"/>
  <c r="N14" i="41"/>
  <c r="P27" i="41"/>
  <c r="L46" i="41"/>
  <c r="L62" i="41" s="1"/>
  <c r="L75" i="41" s="1"/>
  <c r="P32" i="41"/>
  <c r="M46" i="41"/>
  <c r="M62" i="41" s="1"/>
  <c r="M75" i="41" s="1"/>
  <c r="P50" i="41"/>
  <c r="N46" i="41"/>
  <c r="O46" i="41"/>
  <c r="O62" i="41" s="1"/>
  <c r="O75" i="41" s="1"/>
  <c r="I45" i="41"/>
  <c r="Q19" i="41"/>
  <c r="K29" i="41" l="1"/>
  <c r="J29" i="41" s="1"/>
  <c r="Q29" i="41" s="1"/>
  <c r="K36" i="41"/>
  <c r="K36" i="42" s="1"/>
  <c r="K44" i="41"/>
  <c r="K44" i="42" s="1"/>
  <c r="J69" i="41"/>
  <c r="J72" i="41" s="1"/>
  <c r="K37" i="41"/>
  <c r="J37" i="41" s="1"/>
  <c r="J37" i="42" s="1"/>
  <c r="K19" i="41"/>
  <c r="J19" i="41" s="1"/>
  <c r="J28" i="40"/>
  <c r="K69" i="42" s="1"/>
  <c r="K72" i="42" s="1"/>
  <c r="K73" i="42" s="1"/>
  <c r="K18" i="40"/>
  <c r="K43" i="41"/>
  <c r="J43" i="41" s="1"/>
  <c r="J43" i="42" s="1"/>
  <c r="K39" i="41"/>
  <c r="K39" i="42" s="1"/>
  <c r="I51" i="41"/>
  <c r="I51" i="42" s="1"/>
  <c r="H51" i="42"/>
  <c r="K29" i="42"/>
  <c r="J29" i="42" s="1"/>
  <c r="Q29" i="42" s="1"/>
  <c r="V29" i="42" s="1"/>
  <c r="K19" i="42"/>
  <c r="J19" i="42" s="1"/>
  <c r="K38" i="41"/>
  <c r="J38" i="41" s="1"/>
  <c r="J38" i="42" s="1"/>
  <c r="J72" i="42"/>
  <c r="J40" i="41"/>
  <c r="J40" i="42" s="1"/>
  <c r="K40" i="42"/>
  <c r="N62" i="41"/>
  <c r="N75" i="41" s="1"/>
  <c r="P46" i="41"/>
  <c r="P59" i="41"/>
  <c r="P14" i="41"/>
  <c r="J36" i="41"/>
  <c r="P62" i="41" l="1"/>
  <c r="P75" i="41" s="1"/>
  <c r="J44" i="41"/>
  <c r="J44" i="42" s="1"/>
  <c r="K37" i="42"/>
  <c r="K43" i="42"/>
  <c r="J39" i="41"/>
  <c r="J39" i="42" s="1"/>
  <c r="K35" i="41"/>
  <c r="K45" i="41" s="1"/>
  <c r="K51" i="41"/>
  <c r="K51" i="42" s="1"/>
  <c r="K69" i="41"/>
  <c r="I69" i="41" s="1"/>
  <c r="I72" i="41" s="1"/>
  <c r="I69" i="42"/>
  <c r="I72" i="42" s="1"/>
  <c r="K38" i="42"/>
  <c r="J36" i="42"/>
  <c r="K35" i="42" l="1"/>
  <c r="K45" i="42" s="1"/>
  <c r="K72" i="41"/>
  <c r="J51" i="41"/>
  <c r="J51" i="42" s="1"/>
  <c r="J35" i="42"/>
  <c r="J45" i="42" s="1"/>
  <c r="J35" i="41"/>
  <c r="J45" i="41" s="1"/>
  <c r="K73" i="41"/>
  <c r="Q35" i="41"/>
  <c r="Q35" i="42" l="1"/>
  <c r="T84" i="39"/>
  <c r="T83" i="39"/>
  <c r="T82" i="39"/>
  <c r="T81" i="39"/>
  <c r="T80" i="39"/>
  <c r="T79" i="39"/>
  <c r="T78" i="39"/>
  <c r="T77" i="39"/>
  <c r="T76" i="39"/>
  <c r="T75" i="39"/>
  <c r="T74" i="39"/>
  <c r="T73" i="39"/>
  <c r="T72" i="39"/>
  <c r="T51" i="39"/>
  <c r="T52" i="39"/>
  <c r="Y52" i="39" s="1"/>
  <c r="T53" i="39"/>
  <c r="Y53" i="39" s="1"/>
  <c r="T54" i="39"/>
  <c r="Y54" i="39" s="1"/>
  <c r="T55" i="39"/>
  <c r="Y55" i="39" s="1"/>
  <c r="T56" i="39"/>
  <c r="T57" i="39"/>
  <c r="Y57" i="39" s="1"/>
  <c r="T58" i="39"/>
  <c r="Y58" i="39" s="1"/>
  <c r="J3" i="39"/>
  <c r="T59" i="39"/>
  <c r="Y59" i="39" s="1"/>
  <c r="T60" i="39"/>
  <c r="T61" i="39"/>
  <c r="T62" i="39"/>
  <c r="AD34" i="39"/>
  <c r="AC34" i="39"/>
  <c r="T34" i="39"/>
  <c r="AD33" i="39"/>
  <c r="AC33" i="39"/>
  <c r="T33" i="39"/>
  <c r="AD37" i="39"/>
  <c r="AC37" i="39"/>
  <c r="T37" i="39"/>
  <c r="AD36" i="39"/>
  <c r="AC36" i="39"/>
  <c r="T36" i="39"/>
  <c r="AD35" i="39"/>
  <c r="AC35" i="39"/>
  <c r="T35" i="39"/>
  <c r="AD32" i="39"/>
  <c r="AC32" i="39"/>
  <c r="T32" i="39"/>
  <c r="AD31" i="39"/>
  <c r="AC31" i="39"/>
  <c r="T31" i="39"/>
  <c r="T14" i="39"/>
  <c r="AD14" i="39"/>
  <c r="AC14" i="39" s="1"/>
  <c r="T15" i="39"/>
  <c r="AD15" i="39"/>
  <c r="AC15" i="39" s="1"/>
  <c r="T16" i="39"/>
  <c r="AD16" i="39"/>
  <c r="AC16" i="39" s="1"/>
  <c r="AC30" i="39"/>
  <c r="AD30" i="39"/>
  <c r="AC38" i="39"/>
  <c r="AD38" i="39"/>
  <c r="AC39" i="39"/>
  <c r="AD39" i="39"/>
  <c r="AC40" i="39"/>
  <c r="AD40" i="39"/>
  <c r="AC41" i="39"/>
  <c r="AD41" i="39"/>
  <c r="T30" i="39"/>
  <c r="T38" i="39"/>
  <c r="T39" i="39"/>
  <c r="T40" i="39"/>
  <c r="T41" i="39"/>
  <c r="T42" i="39"/>
  <c r="T43" i="39"/>
  <c r="AD12" i="39"/>
  <c r="AC12" i="39" s="1"/>
  <c r="AD13" i="39"/>
  <c r="AC13" i="39" s="1"/>
  <c r="AD17" i="39"/>
  <c r="AC17" i="39" s="1"/>
  <c r="AD18" i="39"/>
  <c r="AC18" i="39" s="1"/>
  <c r="AD19" i="39"/>
  <c r="AC19" i="39" s="1"/>
  <c r="AD20" i="39"/>
  <c r="AC20" i="39" s="1"/>
  <c r="AD21" i="39"/>
  <c r="AC21" i="39" s="1"/>
  <c r="AD22" i="39"/>
  <c r="AC22" i="39" s="1"/>
  <c r="AD23" i="39"/>
  <c r="AC23" i="39" s="1"/>
  <c r="T23" i="39"/>
  <c r="T22" i="39"/>
  <c r="T21" i="39"/>
  <c r="T20" i="39"/>
  <c r="T19" i="39"/>
  <c r="T18" i="39"/>
  <c r="T17" i="39"/>
  <c r="T13" i="39"/>
  <c r="T12" i="39"/>
  <c r="K3" i="39" l="1"/>
  <c r="L3" i="39"/>
  <c r="J4" i="39"/>
  <c r="Y23" i="39"/>
  <c r="U89" i="39"/>
  <c r="Y51" i="39"/>
  <c r="Y19" i="39"/>
  <c r="Y15" i="39"/>
  <c r="Y12" i="39"/>
  <c r="Y16" i="39"/>
  <c r="Y13" i="39"/>
  <c r="Y14" i="39"/>
  <c r="Y17" i="39"/>
  <c r="Y20" i="39"/>
  <c r="G23" i="41" s="1"/>
  <c r="Y21" i="39"/>
  <c r="Y22" i="39"/>
  <c r="G17" i="41" l="1"/>
  <c r="G17" i="42" s="1"/>
  <c r="I17" i="42" s="1"/>
  <c r="G22" i="41"/>
  <c r="H22" i="41" s="1"/>
  <c r="I22" i="41" s="1"/>
  <c r="K22" i="41" s="1"/>
  <c r="V48" i="39"/>
  <c r="V7" i="39" s="1"/>
  <c r="G25" i="41"/>
  <c r="H25" i="41" s="1"/>
  <c r="I25" i="41" s="1"/>
  <c r="K25" i="41" s="1"/>
  <c r="W48" i="39"/>
  <c r="Y18" i="39"/>
  <c r="H23" i="41"/>
  <c r="I23" i="41" s="1"/>
  <c r="K23" i="41" s="1"/>
  <c r="G23" i="42"/>
  <c r="H23" i="42" s="1"/>
  <c r="I23" i="42" s="1"/>
  <c r="K23" i="42" s="1"/>
  <c r="J23" i="42" s="1"/>
  <c r="Q23" i="42" s="1"/>
  <c r="V23" i="42" s="1"/>
  <c r="AC25" i="39"/>
  <c r="AC47" i="39"/>
  <c r="AC46" i="39"/>
  <c r="AC45" i="39"/>
  <c r="AC44" i="39"/>
  <c r="AC43" i="39"/>
  <c r="AC42" i="39"/>
  <c r="I17" i="41" l="1"/>
  <c r="K17" i="41" s="1"/>
  <c r="J17" i="41" s="1"/>
  <c r="Q17" i="41" s="1"/>
  <c r="G22" i="42"/>
  <c r="H22" i="42" s="1"/>
  <c r="I22" i="42" s="1"/>
  <c r="K22" i="42" s="1"/>
  <c r="G25" i="42"/>
  <c r="H25" i="42" s="1"/>
  <c r="I25" i="42" s="1"/>
  <c r="T25" i="42" s="1"/>
  <c r="U17" i="42"/>
  <c r="R17" i="42"/>
  <c r="S17" i="42"/>
  <c r="T17" i="42"/>
  <c r="K17" i="42"/>
  <c r="J17" i="42" s="1"/>
  <c r="Q17" i="42" s="1"/>
  <c r="V17" i="42" s="1"/>
  <c r="J23" i="41"/>
  <c r="Q23" i="41" s="1"/>
  <c r="T23" i="42"/>
  <c r="U23" i="42"/>
  <c r="S23" i="42"/>
  <c r="J22" i="41"/>
  <c r="Q22" i="41" s="1"/>
  <c r="R23" i="42"/>
  <c r="J25" i="41"/>
  <c r="Q25" i="41" s="1"/>
  <c r="S22" i="42" l="1"/>
  <c r="T22" i="42"/>
  <c r="Q22" i="42"/>
  <c r="V22" i="42" s="1"/>
  <c r="J22" i="42"/>
  <c r="U22" i="42"/>
  <c r="R22" i="42"/>
  <c r="U25" i="42"/>
  <c r="K25" i="42"/>
  <c r="J25" i="42" s="1"/>
  <c r="Q25" i="42" s="1"/>
  <c r="V25" i="42" s="1"/>
  <c r="R25" i="42"/>
  <c r="S25" i="42"/>
  <c r="T88" i="39" l="1"/>
  <c r="T87" i="39"/>
  <c r="T86" i="39"/>
  <c r="T85" i="39"/>
  <c r="T68" i="39"/>
  <c r="T67" i="39"/>
  <c r="T66" i="39"/>
  <c r="T65" i="39"/>
  <c r="T64" i="39"/>
  <c r="R7" i="39"/>
  <c r="AD47" i="39"/>
  <c r="T47" i="39"/>
  <c r="AD46" i="39"/>
  <c r="T46" i="39"/>
  <c r="AD45" i="39"/>
  <c r="T45" i="39"/>
  <c r="AD44" i="39"/>
  <c r="T44" i="39"/>
  <c r="AD43" i="39"/>
  <c r="AD42" i="39"/>
  <c r="AD27" i="39"/>
  <c r="AC27" i="39" s="1"/>
  <c r="T27" i="39"/>
  <c r="AD26" i="39"/>
  <c r="AC26" i="39" s="1"/>
  <c r="T26" i="39"/>
  <c r="AD25" i="39"/>
  <c r="T25" i="39"/>
  <c r="AD24" i="39"/>
  <c r="AC24" i="39" s="1"/>
  <c r="T24" i="39"/>
  <c r="AD11" i="39"/>
  <c r="T11" i="39"/>
  <c r="AD10" i="39"/>
  <c r="AC10" i="39" s="1"/>
  <c r="AC11" i="39" l="1"/>
  <c r="Y11" i="39"/>
  <c r="G26" i="41"/>
  <c r="G24" i="41"/>
  <c r="H24" i="41" s="1"/>
  <c r="T71" i="39"/>
  <c r="T70" i="39"/>
  <c r="T69" i="39"/>
  <c r="AD49" i="39"/>
  <c r="I24" i="41" l="1"/>
  <c r="G24" i="42"/>
  <c r="G27" i="41"/>
  <c r="G26" i="42"/>
  <c r="H26" i="42" s="1"/>
  <c r="I26" i="42" s="1"/>
  <c r="K26" i="42" s="1"/>
  <c r="K27" i="42" s="1"/>
  <c r="Q27" i="42" s="1"/>
  <c r="H26" i="41"/>
  <c r="I26" i="41" s="1"/>
  <c r="T29" i="39"/>
  <c r="T63" i="39"/>
  <c r="AD29" i="39"/>
  <c r="AC29" i="39" s="1"/>
  <c r="K4" i="39" s="1"/>
  <c r="AD28" i="39"/>
  <c r="AC28" i="39" s="1"/>
  <c r="L4" i="39" s="1"/>
  <c r="AD89" i="39"/>
  <c r="AD8" i="39"/>
  <c r="AD9" i="39"/>
  <c r="AC9" i="39" s="1"/>
  <c r="AD48" i="39" l="1"/>
  <c r="AC8" i="39"/>
  <c r="K26" i="41"/>
  <c r="K27" i="41" s="1"/>
  <c r="S26" i="42"/>
  <c r="U26" i="42"/>
  <c r="T26" i="42"/>
  <c r="R26" i="42"/>
  <c r="J26" i="42"/>
  <c r="Q26" i="42" s="1"/>
  <c r="V26" i="42" s="1"/>
  <c r="H24" i="42"/>
  <c r="I24" i="42" s="1"/>
  <c r="G27" i="42"/>
  <c r="J24" i="41"/>
  <c r="Q24" i="41" s="1"/>
  <c r="I27" i="41"/>
  <c r="AC89" i="39"/>
  <c r="H89" i="39" s="1"/>
  <c r="Q7" i="39"/>
  <c r="T28" i="39"/>
  <c r="I4" i="39" l="1"/>
  <c r="H4" i="39" s="1"/>
  <c r="I3" i="39"/>
  <c r="H3" i="39" s="1"/>
  <c r="AC48" i="39"/>
  <c r="H48" i="39" s="1"/>
  <c r="H90" i="39" s="1"/>
  <c r="S7" i="39"/>
  <c r="Q27" i="41"/>
  <c r="J26" i="41"/>
  <c r="Q26" i="41" s="1"/>
  <c r="H27" i="41"/>
  <c r="Q24" i="42"/>
  <c r="S24" i="42"/>
  <c r="T24" i="42"/>
  <c r="I27" i="42"/>
  <c r="J24" i="42"/>
  <c r="J27" i="42" s="1"/>
  <c r="R24" i="42"/>
  <c r="U24" i="42"/>
  <c r="T50" i="39"/>
  <c r="Y50" i="39" s="1"/>
  <c r="T9" i="39"/>
  <c r="T49" i="39"/>
  <c r="W89" i="39" l="1"/>
  <c r="W7" i="39" s="1"/>
  <c r="Y49" i="39"/>
  <c r="Y89" i="39" s="1"/>
  <c r="G18" i="41"/>
  <c r="T48" i="39"/>
  <c r="Y9" i="39"/>
  <c r="Y48" i="39" s="1"/>
  <c r="T89" i="39"/>
  <c r="H27" i="42"/>
  <c r="J27" i="41"/>
  <c r="V24" i="42"/>
  <c r="Y7" i="39" l="1"/>
  <c r="I18" i="41"/>
  <c r="K18" i="41" s="1"/>
  <c r="J18" i="41" s="1"/>
  <c r="Q18" i="41" s="1"/>
  <c r="G18" i="42"/>
  <c r="I18" i="42" s="1"/>
  <c r="T90" i="39"/>
  <c r="G16" i="41"/>
  <c r="U48" i="39"/>
  <c r="U7" i="39" s="1"/>
  <c r="T7" i="39"/>
  <c r="I52" i="41"/>
  <c r="I52" i="42" s="1"/>
  <c r="H52" i="42"/>
  <c r="I53" i="41"/>
  <c r="I53" i="42" s="1"/>
  <c r="H53" i="42"/>
  <c r="I57" i="41"/>
  <c r="I57" i="42" s="1"/>
  <c r="H57" i="42"/>
  <c r="I54" i="41"/>
  <c r="H54" i="42"/>
  <c r="I58" i="41"/>
  <c r="I58" i="42" s="1"/>
  <c r="H58" i="42"/>
  <c r="I56" i="41"/>
  <c r="I56" i="42" s="1"/>
  <c r="H56" i="42"/>
  <c r="U18" i="42" l="1"/>
  <c r="T18" i="42"/>
  <c r="R18" i="42"/>
  <c r="S18" i="42"/>
  <c r="K18" i="42"/>
  <c r="J18" i="42" s="1"/>
  <c r="Q18" i="42" s="1"/>
  <c r="V18" i="42" s="1"/>
  <c r="I16" i="41"/>
  <c r="G20" i="41"/>
  <c r="G16" i="42"/>
  <c r="K53" i="41"/>
  <c r="J53" i="41" s="1"/>
  <c r="J53" i="42" s="1"/>
  <c r="K58" i="41"/>
  <c r="J58" i="41" s="1"/>
  <c r="J58" i="42" s="1"/>
  <c r="K57" i="41"/>
  <c r="J57" i="41" s="1"/>
  <c r="J57" i="42" s="1"/>
  <c r="K56" i="41"/>
  <c r="K56" i="42" s="1"/>
  <c r="K54" i="41"/>
  <c r="I54" i="42"/>
  <c r="I50" i="42" s="1"/>
  <c r="I50" i="41"/>
  <c r="K52" i="41"/>
  <c r="I55" i="41"/>
  <c r="I55" i="42"/>
  <c r="I16" i="42" l="1"/>
  <c r="G20" i="42"/>
  <c r="I33" i="41"/>
  <c r="G14" i="41"/>
  <c r="K16" i="41"/>
  <c r="K20" i="41" s="1"/>
  <c r="I20" i="41"/>
  <c r="K53" i="42"/>
  <c r="J56" i="41"/>
  <c r="J56" i="42" s="1"/>
  <c r="J55" i="42" s="1"/>
  <c r="K57" i="42"/>
  <c r="K58" i="42"/>
  <c r="K55" i="41"/>
  <c r="I59" i="42"/>
  <c r="I60" i="42" s="1"/>
  <c r="I59" i="41"/>
  <c r="J52" i="41"/>
  <c r="K52" i="42"/>
  <c r="K50" i="41"/>
  <c r="J54" i="41"/>
  <c r="J54" i="42" s="1"/>
  <c r="K54" i="42"/>
  <c r="J16" i="41" l="1"/>
  <c r="J20" i="41" s="1"/>
  <c r="Q20" i="41"/>
  <c r="G14" i="42"/>
  <c r="H20" i="41"/>
  <c r="K16" i="42"/>
  <c r="K20" i="42" s="1"/>
  <c r="I20" i="42"/>
  <c r="S16" i="42"/>
  <c r="U16" i="42"/>
  <c r="R16" i="42"/>
  <c r="T16" i="42"/>
  <c r="J55" i="41"/>
  <c r="I60" i="41"/>
  <c r="K55" i="42"/>
  <c r="K59" i="41"/>
  <c r="Q59" i="41" s="1"/>
  <c r="K50" i="42"/>
  <c r="J52" i="42"/>
  <c r="J50" i="42" s="1"/>
  <c r="J59" i="42" s="1"/>
  <c r="J50" i="41"/>
  <c r="Q16" i="41" l="1"/>
  <c r="J16" i="42"/>
  <c r="J20" i="42" s="1"/>
  <c r="H30" i="41"/>
  <c r="I30" i="41" s="1"/>
  <c r="H31" i="41"/>
  <c r="I31" i="41" s="1"/>
  <c r="H20" i="42"/>
  <c r="Q20" i="42"/>
  <c r="J59" i="41"/>
  <c r="J60" i="41" s="1"/>
  <c r="K60" i="41"/>
  <c r="K59" i="42"/>
  <c r="Q59" i="42" s="1"/>
  <c r="J60" i="42"/>
  <c r="K60" i="42" l="1"/>
  <c r="Q16" i="42"/>
  <c r="V16" i="42" s="1"/>
  <c r="H30" i="42"/>
  <c r="I30" i="42" s="1"/>
  <c r="H31" i="42"/>
  <c r="I31" i="42" s="1"/>
  <c r="K31" i="41"/>
  <c r="J31" i="41" s="1"/>
  <c r="Q31" i="41"/>
  <c r="Q30" i="41"/>
  <c r="I32" i="41"/>
  <c r="K30" i="41"/>
  <c r="J30" i="41" s="1"/>
  <c r="J33" i="41" l="1"/>
  <c r="K33" i="41" s="1"/>
  <c r="J32" i="41"/>
  <c r="J34" i="41" s="1"/>
  <c r="H32" i="41"/>
  <c r="I46" i="41"/>
  <c r="I34" i="41"/>
  <c r="H14" i="41"/>
  <c r="I14" i="41"/>
  <c r="K31" i="42"/>
  <c r="J31" i="42" s="1"/>
  <c r="S31" i="42"/>
  <c r="R31" i="42"/>
  <c r="Q31" i="42"/>
  <c r="V31" i="42" s="1"/>
  <c r="U31" i="42"/>
  <c r="T31" i="42"/>
  <c r="U30" i="42"/>
  <c r="R30" i="42"/>
  <c r="K30" i="42"/>
  <c r="I32" i="42"/>
  <c r="T30" i="42"/>
  <c r="S30" i="42"/>
  <c r="Q30" i="42"/>
  <c r="K32" i="41"/>
  <c r="J46" i="41" l="1"/>
  <c r="J47" i="41" s="1"/>
  <c r="J14" i="41"/>
  <c r="K32" i="42"/>
  <c r="Q32" i="42" s="1"/>
  <c r="J30" i="42"/>
  <c r="J32" i="42" s="1"/>
  <c r="J34" i="42" s="1"/>
  <c r="V30" i="42"/>
  <c r="K33" i="42" s="1"/>
  <c r="J33" i="42"/>
  <c r="I47" i="41"/>
  <c r="I62" i="41"/>
  <c r="H32" i="42"/>
  <c r="I46" i="42"/>
  <c r="I34" i="42"/>
  <c r="H14" i="42"/>
  <c r="I14" i="42"/>
  <c r="Q32" i="41"/>
  <c r="K46" i="41"/>
  <c r="K34" i="41"/>
  <c r="K14" i="41"/>
  <c r="Q14" i="41" s="1"/>
  <c r="J62" i="41" l="1"/>
  <c r="J64" i="41" s="1"/>
  <c r="K14" i="42"/>
  <c r="Q14" i="42" s="1"/>
  <c r="K46" i="42"/>
  <c r="S59" i="42" s="1"/>
  <c r="K34" i="42"/>
  <c r="J14" i="42"/>
  <c r="J46" i="42"/>
  <c r="J62" i="42" s="1"/>
  <c r="I47" i="42"/>
  <c r="I62" i="42"/>
  <c r="I64" i="41"/>
  <c r="I75" i="41"/>
  <c r="I63" i="41"/>
  <c r="I33" i="42"/>
  <c r="K47" i="41"/>
  <c r="Q46" i="41"/>
  <c r="K62" i="41"/>
  <c r="S59" i="41"/>
  <c r="K47" i="42" l="1"/>
  <c r="Q46" i="42"/>
  <c r="K62" i="42"/>
  <c r="K64" i="42" s="1"/>
  <c r="J47" i="42"/>
  <c r="J63" i="41"/>
  <c r="J75" i="41"/>
  <c r="E9" i="40" s="1"/>
  <c r="Q62" i="41"/>
  <c r="J9" i="40"/>
  <c r="K63" i="41"/>
  <c r="J10" i="40" s="1"/>
  <c r="K75" i="41"/>
  <c r="Q75" i="41" s="1"/>
  <c r="K64" i="41"/>
  <c r="I64" i="42"/>
  <c r="I63" i="42"/>
  <c r="I75" i="42"/>
  <c r="I76" i="41" s="1"/>
  <c r="J64" i="42"/>
  <c r="J75" i="42"/>
  <c r="J76" i="41" s="1"/>
  <c r="J63" i="42"/>
  <c r="E10" i="40" l="1"/>
  <c r="K63" i="42"/>
  <c r="K75" i="42"/>
  <c r="K76" i="41" s="1"/>
  <c r="Q76" i="41" s="1"/>
  <c r="Q62" i="42"/>
  <c r="Q75" i="42" l="1"/>
</calcChain>
</file>

<file path=xl/comments1.xml><?xml version="1.0" encoding="utf-8"?>
<comments xmlns="http://schemas.openxmlformats.org/spreadsheetml/2006/main">
  <authors>
    <author>Utilisateur Windows</author>
  </authors>
  <commentList>
    <comment ref="U6" authorId="0" shapeId="0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Professeur des universités et assimilés, maître de conférence, professeur agrégé et assimilé et enseignants du second degré (certifié, professeur de lycée professionnel, professeur EPS)</t>
        </r>
      </text>
    </comment>
    <comment ref="V6" authorId="0" shapeId="0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Enseignant-chercheur associé (PAST et MAST), ATER, lecteurs, maître de langue</t>
        </r>
      </text>
    </comment>
  </commentList>
</comments>
</file>

<file path=xl/comments2.xml><?xml version="1.0" encoding="utf-8"?>
<comments xmlns="http://schemas.openxmlformats.org/spreadsheetml/2006/main">
  <authors>
    <author>Utilisateur Windows</author>
  </authors>
  <commentList>
    <comment ref="C7" authorId="0" shapeId="0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Par défaut le nombre d'inscrits payants correspond à la somme des inscrits en formation continue renseignés dans le tableaux ci-dessous. Toutefois cette valeur est modificable manuellement.</t>
        </r>
      </text>
    </comment>
    <comment ref="B16" authorId="0" shapeId="0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uniquement les droits des étudiants en FI, l'intégralité des droits des stagiaires en FC doit être saisie dans la partie "financements propres"</t>
        </r>
      </text>
    </comment>
    <comment ref="B28" authorId="0" shapeId="0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Ne comptabilise que les tarifs pour lesquels le nombre d'étudiants n'est pas nul</t>
        </r>
      </text>
    </comment>
  </commentList>
</comments>
</file>

<file path=xl/comments3.xml><?xml version="1.0" encoding="utf-8"?>
<comments xmlns="http://schemas.openxmlformats.org/spreadsheetml/2006/main">
  <authors>
    <author>Utilisateur Windows</author>
  </authors>
  <commentList>
    <comment ref="C16" authorId="0" shapeId="0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Professeur des universités et assimilés, maître de conférence, professeur agrégé et assimilé, certifié, professeur de lycée professionnel, professeur EPS</t>
        </r>
      </text>
    </comment>
    <comment ref="C17" authorId="0" shapeId="0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Enseignant-chercheur associé ou invité (PAST et MAST), attaché temporaire d’enseignement et de recherche (ATER), lecteurs, maître de langue</t>
        </r>
      </text>
    </comment>
    <comment ref="D51" authorId="0" shapeId="0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 du service commun de formation continue</t>
        </r>
      </text>
    </comment>
    <comment ref="C52" authorId="0" shapeId="0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 des personnels BIATSS des composantes, de la DFVE, de la DRI, du SCUIO, etc</t>
        </r>
      </text>
    </comment>
    <comment ref="C53" authorId="0" shapeId="0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du SCD</t>
        </r>
      </text>
    </comment>
    <comment ref="C54" authorId="0" shapeId="0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DFVE vie étudiante, du SUAPS, du SUMMPS, etc</t>
        </r>
      </text>
    </comment>
    <comment ref="D56" authorId="0" shapeId="0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des services centraux (présidence, Agence Comptable, DAF, communication,…)</t>
        </r>
      </text>
    </comment>
    <comment ref="C57" authorId="0" shapeId="0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DIMMO</t>
        </r>
      </text>
    </comment>
    <comment ref="D58" authorId="0" shapeId="0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DSI</t>
        </r>
      </text>
    </comment>
  </commentList>
</comments>
</file>

<file path=xl/comments4.xml><?xml version="1.0" encoding="utf-8"?>
<comments xmlns="http://schemas.openxmlformats.org/spreadsheetml/2006/main">
  <authors>
    <author>Utilisateur Windows</author>
  </authors>
  <commentList>
    <comment ref="C16" authorId="0" shapeId="0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Professeur des universités et assimilés, maître de conférence, professeur agrégé et assimilé, certifié, professeur de lycée professionnel, professeur EPS</t>
        </r>
      </text>
    </comment>
    <comment ref="C17" authorId="0" shapeId="0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Enseignant-chercheur associé ou invité (PAST et MAST), attaché temporaire d’enseignement et de recherche (ATER), lecteurs, maître de langue</t>
        </r>
      </text>
    </comment>
    <comment ref="D51" authorId="0" shapeId="0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 du service commun de formation continue</t>
        </r>
      </text>
    </comment>
    <comment ref="C52" authorId="0" shapeId="0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 des personnels BIATSS des composantes, de la DFVE, de la DRI, du SCUIO, etc</t>
        </r>
      </text>
    </comment>
    <comment ref="C53" authorId="0" shapeId="0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du SCD</t>
        </r>
      </text>
    </comment>
    <comment ref="C54" authorId="0" shapeId="0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DFVE vie étudiante, du SUAPS, du SUMMPS, etc</t>
        </r>
      </text>
    </comment>
    <comment ref="D56" authorId="0" shapeId="0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des services centraux (présidence, Agence Comptable, DAF, communication,…)</t>
        </r>
      </text>
    </comment>
    <comment ref="C57" authorId="0" shapeId="0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DIMMO</t>
        </r>
      </text>
    </comment>
    <comment ref="D58" authorId="0" shapeId="0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DSI</t>
        </r>
      </text>
    </comment>
  </commentList>
</comments>
</file>

<file path=xl/sharedStrings.xml><?xml version="1.0" encoding="utf-8"?>
<sst xmlns="http://schemas.openxmlformats.org/spreadsheetml/2006/main" count="608" uniqueCount="290">
  <si>
    <t>Total</t>
  </si>
  <si>
    <t>CM/TD</t>
  </si>
  <si>
    <t>Stage/entreprise</t>
  </si>
  <si>
    <t>Projet</t>
  </si>
  <si>
    <t>Autre</t>
  </si>
  <si>
    <t>Volume horaire par étudiant parcours FI/FC</t>
  </si>
  <si>
    <t>Volume horaire par étudiant parcours alternance</t>
  </si>
  <si>
    <t>Code Enseignement</t>
  </si>
  <si>
    <t>Libellé enseignement</t>
  </si>
  <si>
    <t>Parcours</t>
  </si>
  <si>
    <t>Obligatoire ou optionnel</t>
  </si>
  <si>
    <t>Nb choix</t>
  </si>
  <si>
    <t>type d'enseignement</t>
  </si>
  <si>
    <t>Volume horaire</t>
  </si>
  <si>
    <t>Nb inscrits total</t>
  </si>
  <si>
    <t>Capacité  groupe</t>
  </si>
  <si>
    <t>Portage extérieur</t>
  </si>
  <si>
    <t>Mention, parcours, établissement extérieur porteur</t>
  </si>
  <si>
    <t>Nb de groupes</t>
  </si>
  <si>
    <t xml:space="preserve">Nb d'heures effectives enseigement pédagogique </t>
  </si>
  <si>
    <t>Nb d'heures de suivi</t>
  </si>
  <si>
    <t>Total heures effectives</t>
  </si>
  <si>
    <t>Total HETD</t>
  </si>
  <si>
    <t>Enseignants titulaires</t>
  </si>
  <si>
    <t>Enseignants non titulaires</t>
  </si>
  <si>
    <t xml:space="preserve">Vacataires </t>
  </si>
  <si>
    <t>Autres</t>
  </si>
  <si>
    <r>
      <t xml:space="preserve">Total heures </t>
    </r>
    <r>
      <rPr>
        <b/>
        <u/>
        <sz val="11"/>
        <color theme="0"/>
        <rFont val="Calibri"/>
        <family val="2"/>
        <scheme val="minor"/>
      </rPr>
      <t xml:space="preserve">effectives </t>
    </r>
  </si>
  <si>
    <t>Commentaires et mode de calcul de l'accompagnement</t>
  </si>
  <si>
    <t xml:space="preserve">Nb d'heures étudiant proratisé </t>
  </si>
  <si>
    <t>Nb d'heures tous apprenants</t>
  </si>
  <si>
    <t>Semestre 1</t>
  </si>
  <si>
    <t>UE A Cadre politique, technique et reglementaire</t>
  </si>
  <si>
    <t>ALT</t>
  </si>
  <si>
    <t>Obligatoire</t>
  </si>
  <si>
    <t>CM</t>
  </si>
  <si>
    <t>Non</t>
  </si>
  <si>
    <t>TD</t>
  </si>
  <si>
    <t>Transport et développement durable</t>
  </si>
  <si>
    <t>UE B Outils de Gestion</t>
  </si>
  <si>
    <t>Contrôle de gestion</t>
  </si>
  <si>
    <t>Planification et élaboration d'une offre</t>
  </si>
  <si>
    <t>Progiciel HASTUS</t>
  </si>
  <si>
    <t>Management de projets</t>
  </si>
  <si>
    <t>UE C Organisation et relations sociales</t>
  </si>
  <si>
    <t>Droit social et conventions collectives</t>
  </si>
  <si>
    <t>UE D Outils de relation client</t>
  </si>
  <si>
    <t>Statistiques</t>
  </si>
  <si>
    <t>UE E Projets tutorés et activité en entreprise</t>
  </si>
  <si>
    <t>Thématrans : autonomie</t>
  </si>
  <si>
    <t>PROJSUIV</t>
  </si>
  <si>
    <t>Semestre 2</t>
  </si>
  <si>
    <t>Matériels et aspects techniques</t>
  </si>
  <si>
    <t>Droit des appels d'offres:DSP et marché public</t>
  </si>
  <si>
    <t>Anglais</t>
  </si>
  <si>
    <t>Transition numérique</t>
  </si>
  <si>
    <t>Transition énergétique</t>
  </si>
  <si>
    <t>Progiciel ABC</t>
  </si>
  <si>
    <t>Ressources humaines : Management et gestion conflits</t>
  </si>
  <si>
    <t>Démarche qualité</t>
  </si>
  <si>
    <t>Enquête</t>
  </si>
  <si>
    <t>Enquête en autonomie partielle</t>
  </si>
  <si>
    <t>Les outils de la relation clientèle (et marketing)</t>
  </si>
  <si>
    <t>Sortie pédagogique</t>
  </si>
  <si>
    <t>SPSUIV</t>
  </si>
  <si>
    <t>Activité en entreprise (suivi)</t>
  </si>
  <si>
    <t>ALTSUIV</t>
  </si>
  <si>
    <t>Ateliers mémoire</t>
  </si>
  <si>
    <t>RECETTES ET SIMULATIONS</t>
  </si>
  <si>
    <t>Etablissement</t>
  </si>
  <si>
    <t>Université Lumière Lyon 2</t>
  </si>
  <si>
    <t>Type de formation</t>
  </si>
  <si>
    <t>Licence Professionnelle</t>
  </si>
  <si>
    <t>RNCP / RS</t>
  </si>
  <si>
    <t>En cours</t>
  </si>
  <si>
    <t>Nom de la formation</t>
  </si>
  <si>
    <t>Mention : Management des transports et de la distribution Parcours : Management des Services de Transport de Voyageurs (MSTV)</t>
  </si>
  <si>
    <t xml:space="preserve">Nombre d'inscrits total
</t>
  </si>
  <si>
    <t>Composante</t>
  </si>
  <si>
    <t>SEG - Sciences Economiques et de Gestion</t>
  </si>
  <si>
    <t>Cellules à saisir manuellement</t>
  </si>
  <si>
    <t>Nombre d'inscrits payants</t>
  </si>
  <si>
    <t>Année scolaire considérée</t>
  </si>
  <si>
    <t>Rappel de la part à financer au titre de la formation initiale</t>
  </si>
  <si>
    <t>Données financières pour la part autofinancée</t>
  </si>
  <si>
    <t>Résultat</t>
  </si>
  <si>
    <t>Rappel du résultat total</t>
  </si>
  <si>
    <t>Rappel du coût moyen par étudiant FC</t>
  </si>
  <si>
    <t>DROITS D'INSCRIPTION</t>
  </si>
  <si>
    <t>Tarif</t>
  </si>
  <si>
    <t>Type de dispositif</t>
  </si>
  <si>
    <t>Tarif de la formation</t>
  </si>
  <si>
    <t>Nombre inscrits</t>
  </si>
  <si>
    <t>Tarif horaire</t>
  </si>
  <si>
    <t>Taux d'absentéisme (en %)</t>
  </si>
  <si>
    <t>Recettes (avec absentéisme)</t>
  </si>
  <si>
    <t>Tarif horaire avec absentéisme</t>
  </si>
  <si>
    <t>Commentaire/description du tarif</t>
  </si>
  <si>
    <t>Contrat de professionnalisation</t>
  </si>
  <si>
    <t>FORMATION INITIALE</t>
  </si>
  <si>
    <t>Contrat d'apprentissage</t>
  </si>
  <si>
    <t>Droits d'inscription nationaux</t>
  </si>
  <si>
    <t>FINANCEMENTS PROPRES</t>
  </si>
  <si>
    <t>TARIF 1</t>
  </si>
  <si>
    <t>TARIF 2</t>
  </si>
  <si>
    <t>TARIF 3</t>
  </si>
  <si>
    <t>TARIF 4</t>
  </si>
  <si>
    <t>TARIF 5</t>
  </si>
  <si>
    <t>TARIF 6</t>
  </si>
  <si>
    <t>TARIF 7</t>
  </si>
  <si>
    <t>TARIF 8</t>
  </si>
  <si>
    <t>TARIF 9</t>
  </si>
  <si>
    <t>TARIF 10</t>
  </si>
  <si>
    <t>Total droits d'inscription payés</t>
  </si>
  <si>
    <t>SUBVENTIONS (hors SCSP)</t>
  </si>
  <si>
    <t>Type de subvention</t>
  </si>
  <si>
    <t>Financeur</t>
  </si>
  <si>
    <t>Montant</t>
  </si>
  <si>
    <t>Commentaire</t>
  </si>
  <si>
    <t>Taxe d'apprentissage</t>
  </si>
  <si>
    <t>partenaire</t>
  </si>
  <si>
    <t>Réalisation d'une enquête par les étudiants pour un commanditaire extérieur</t>
  </si>
  <si>
    <t>Total subventions</t>
  </si>
  <si>
    <t>BUDGET PREVISIONNEL</t>
  </si>
  <si>
    <t>REPARTITION EN CAS DE PARTENARIAT</t>
  </si>
  <si>
    <t>Formation</t>
  </si>
  <si>
    <t>DEPENSES</t>
  </si>
  <si>
    <t>A</t>
  </si>
  <si>
    <t>REALISATION, PREPARATION DES ENSEIGNEMENTS et CHARGES SPECIFIQUES A CETTE FORMATION</t>
  </si>
  <si>
    <t>Nombre d'Heures à payer (HETD)</t>
  </si>
  <si>
    <t>Coût horaire</t>
  </si>
  <si>
    <t>TOTAL</t>
  </si>
  <si>
    <t>Part financée par SCSP (FI)</t>
  </si>
  <si>
    <t>Part financée sur ressources propres (FTLV)</t>
  </si>
  <si>
    <t>Lyon 2</t>
  </si>
  <si>
    <t>Partenaire 1</t>
  </si>
  <si>
    <t>Partenaire 2</t>
  </si>
  <si>
    <t>Partenaire 3</t>
  </si>
  <si>
    <t>CHARGES DIRECTES DE PERSONNEL</t>
  </si>
  <si>
    <t>du CA</t>
  </si>
  <si>
    <t>A.1</t>
  </si>
  <si>
    <t>ENSEIGNEMENT DISCIPLINAIRE</t>
  </si>
  <si>
    <t>A. 1.1</t>
  </si>
  <si>
    <t>A. 1.2</t>
  </si>
  <si>
    <t>A. 1.3</t>
  </si>
  <si>
    <t>Vacataires</t>
  </si>
  <si>
    <t>A. 1.4</t>
  </si>
  <si>
    <t>Autres (à définir)</t>
  </si>
  <si>
    <t>TOTAL heures ETD enseignement disciplinaire</t>
  </si>
  <si>
    <t>A.2</t>
  </si>
  <si>
    <t>ACCOMPAGNEMENT</t>
  </si>
  <si>
    <t>A. 2.1</t>
  </si>
  <si>
    <t>Accompagnement projet</t>
  </si>
  <si>
    <t>A. 2.2</t>
  </si>
  <si>
    <t>Suivi mémoires</t>
  </si>
  <si>
    <t>A. 2.3</t>
  </si>
  <si>
    <t>Visite en stage</t>
  </si>
  <si>
    <t>A. 2.4</t>
  </si>
  <si>
    <t>Tutorat alternance</t>
  </si>
  <si>
    <t>A. 2.5</t>
  </si>
  <si>
    <t>Sorties pédagogiques / journées d'étude</t>
  </si>
  <si>
    <t>TOTAL heures accompagnement pédagogique</t>
  </si>
  <si>
    <t>A.3</t>
  </si>
  <si>
    <t>ENCADREMENT ET PILOTAGE DU DIPLÔME</t>
  </si>
  <si>
    <t>A. 3.1</t>
  </si>
  <si>
    <t>Responsabilité diplôme</t>
  </si>
  <si>
    <t>A. 3.2</t>
  </si>
  <si>
    <t>Heures de recrutement (1 / 20 dossiers)</t>
  </si>
  <si>
    <t>A. 3.3</t>
  </si>
  <si>
    <t>TOTAL heures encadrement et pilotage du diplôme</t>
  </si>
  <si>
    <t>Nombre total d'heures intervenants</t>
  </si>
  <si>
    <t>Masse salariale intervenants par apprenant</t>
  </si>
  <si>
    <t>CHARGES DIRECTES DE FONCTIONNEMENT</t>
  </si>
  <si>
    <t>A.60</t>
  </si>
  <si>
    <t>Achat de petits materiels et fournitures</t>
  </si>
  <si>
    <t>A.61.1</t>
  </si>
  <si>
    <t>Indemnités d'occupations des locaux (locations &amp; fluides)</t>
  </si>
  <si>
    <t>A.61.2</t>
  </si>
  <si>
    <t>Autres services extérieurs</t>
  </si>
  <si>
    <t>A.62.1</t>
  </si>
  <si>
    <t>Communication et publicité</t>
  </si>
  <si>
    <t>A.62.2</t>
  </si>
  <si>
    <t>Frais déplacements/restauration globaux</t>
  </si>
  <si>
    <t>A.62.3</t>
  </si>
  <si>
    <t>Frais de deplacements/restauration liés aux visites (stage FI)</t>
  </si>
  <si>
    <t>A.62.4</t>
  </si>
  <si>
    <t>Frais de deplacements/restauration liés aux visites (alternance/FC)</t>
  </si>
  <si>
    <t>A.65</t>
  </si>
  <si>
    <t>Autres charges de gestion courantes</t>
  </si>
  <si>
    <t>A.68</t>
  </si>
  <si>
    <t>Amortissement des biens liés à la formation</t>
  </si>
  <si>
    <t>Charges de fonctionnement par apprenant</t>
  </si>
  <si>
    <t xml:space="preserve">TOTAL DES CHARGES DIRECTES </t>
  </si>
  <si>
    <t>Monant de charges directes par apprenant</t>
  </si>
  <si>
    <t>B</t>
  </si>
  <si>
    <t>CHARGES COMMUNES ET INDIRECTES</t>
  </si>
  <si>
    <t>Montant par apprenant</t>
  </si>
  <si>
    <t>Part financée sur ressources propres</t>
  </si>
  <si>
    <t>CHARGES INDIRECTES DE STOUTIEN</t>
  </si>
  <si>
    <t>B. 1.1</t>
  </si>
  <si>
    <t xml:space="preserve">Appui à la formation tout au long de la vie </t>
  </si>
  <si>
    <t>B. 1.2</t>
  </si>
  <si>
    <t>Appui à la formation</t>
  </si>
  <si>
    <t>B. 1.3</t>
  </si>
  <si>
    <t>Documentation</t>
  </si>
  <si>
    <t>B. 1.4</t>
  </si>
  <si>
    <t>Vie étudiante</t>
  </si>
  <si>
    <t>CHARGES INDIRECTES DE SUPPORT</t>
  </si>
  <si>
    <t>B. 2.1</t>
  </si>
  <si>
    <t>Gouvernance et pilotage</t>
  </si>
  <si>
    <t>B. 2.2</t>
  </si>
  <si>
    <t>Immobilier</t>
  </si>
  <si>
    <t>B.2.3</t>
  </si>
  <si>
    <t>Systèmes d'information et numériques</t>
  </si>
  <si>
    <t xml:space="preserve">TOTAL CHARGES INDIRECTES </t>
  </si>
  <si>
    <t>des dépenses</t>
  </si>
  <si>
    <t>Montant de charges indirectes par apprenant</t>
  </si>
  <si>
    <t xml:space="preserve">TOTAL DES DEPENSES </t>
  </si>
  <si>
    <t>Coût complet par apprenant</t>
  </si>
  <si>
    <t>Coût complet par heure d'enseignement</t>
  </si>
  <si>
    <t>RECETTES</t>
  </si>
  <si>
    <t>C</t>
  </si>
  <si>
    <t>SOURCES DE FINANCEMENT</t>
  </si>
  <si>
    <t>C.1.1</t>
  </si>
  <si>
    <t>Droits d'inscription</t>
  </si>
  <si>
    <t>C.1.2</t>
  </si>
  <si>
    <t>Subventions</t>
  </si>
  <si>
    <t xml:space="preserve">TOTAL DES RECETTES </t>
  </si>
  <si>
    <t>Recette moyenne par apprenant</t>
  </si>
  <si>
    <t>RESULTAT (avant prise en compte de la subvention pour charges de service publique)</t>
  </si>
  <si>
    <t>RESULTAT en valorisant les heures des titulaires au tarif heure complémentaire</t>
  </si>
  <si>
    <t>Types d'heures pour les étudiants</t>
  </si>
  <si>
    <t>Liste des composantes</t>
  </si>
  <si>
    <t>Heures effectives</t>
  </si>
  <si>
    <t>HETD</t>
  </si>
  <si>
    <t>Enseignement disciplinaire</t>
  </si>
  <si>
    <t>Cours magistral</t>
  </si>
  <si>
    <t>ASSP - Anthropologie, Sociologie, Scienes Poliques</t>
  </si>
  <si>
    <t>Travaux dirigés</t>
  </si>
  <si>
    <t>CIEF - Centre International d'Etudes Françaises</t>
  </si>
  <si>
    <t>Travaux pratiques</t>
  </si>
  <si>
    <t>TP</t>
  </si>
  <si>
    <t>FJVD - Faculté de Droit Julie-Victoire Daubié</t>
  </si>
  <si>
    <t>Professionnalisation / recherche</t>
  </si>
  <si>
    <t>Stage (suivi)</t>
  </si>
  <si>
    <t>STSUIV</t>
  </si>
  <si>
    <t>ICOM - Institut de Communication</t>
  </si>
  <si>
    <t>Stage (TD)</t>
  </si>
  <si>
    <t>STTD</t>
  </si>
  <si>
    <t>IETL - Institut d'Etudes du Travail de Lyon</t>
  </si>
  <si>
    <t>Stage (CM)</t>
  </si>
  <si>
    <t>STCM</t>
  </si>
  <si>
    <t>ISPEF - Institut des Sciences et Pratiques d'Education de la Formation</t>
  </si>
  <si>
    <t>Alternance (suivi)</t>
  </si>
  <si>
    <t>IUT - Institut Universitaire de Technologie Lumière</t>
  </si>
  <si>
    <t>Alternance (TD)</t>
  </si>
  <si>
    <t>ALTTD</t>
  </si>
  <si>
    <t>LANG - Langues</t>
  </si>
  <si>
    <t>Alternance (CM)</t>
  </si>
  <si>
    <t>ALTCM</t>
  </si>
  <si>
    <t>LESLA - Lettres, Sciences du Langage et Arts</t>
  </si>
  <si>
    <t>Projet (suivi)</t>
  </si>
  <si>
    <t>PSYCHO - Institut de psychologie</t>
  </si>
  <si>
    <t>Projet (TD)</t>
  </si>
  <si>
    <t>PROJTD</t>
  </si>
  <si>
    <t>Projet (CM)</t>
  </si>
  <si>
    <t>PROJCM</t>
  </si>
  <si>
    <t>TT - Temps et Territoires</t>
  </si>
  <si>
    <t>Mémoire de recherche (suivi)</t>
  </si>
  <si>
    <t>MEMSUIV</t>
  </si>
  <si>
    <t>Mémoire de recherche (TD)</t>
  </si>
  <si>
    <t>MEMTD</t>
  </si>
  <si>
    <t>Mémoire de recherche (CM)</t>
  </si>
  <si>
    <t>MEMCM</t>
  </si>
  <si>
    <t>Formation à distance</t>
  </si>
  <si>
    <t>FOAD</t>
  </si>
  <si>
    <t>Sortie pédagogique (suivi)</t>
  </si>
  <si>
    <t>Sortie pédagogique (TD)</t>
  </si>
  <si>
    <t>SPTD</t>
  </si>
  <si>
    <t>Sortie pédagogique (CM)</t>
  </si>
  <si>
    <t>SPCM</t>
  </si>
  <si>
    <t>Journée d'étude (suivi)</t>
  </si>
  <si>
    <t>JESUIV</t>
  </si>
  <si>
    <t>Journée d'étude (TD)</t>
  </si>
  <si>
    <t>JETD</t>
  </si>
  <si>
    <t>Journée d'étude (CM)</t>
  </si>
  <si>
    <t>JECM</t>
  </si>
  <si>
    <t>Frais de deplacements/restauration liés aux visites (apprentis)</t>
  </si>
  <si>
    <r>
      <t>Economie</t>
    </r>
    <r>
      <rPr>
        <strike/>
        <sz val="11"/>
        <color rgb="FF000000"/>
        <rFont val="Calibri"/>
        <family val="2"/>
        <scheme val="minor"/>
      </rPr>
      <t xml:space="preserve"> </t>
    </r>
    <r>
      <rPr>
        <sz val="11"/>
        <color rgb="FF000000"/>
        <rFont val="Calibri"/>
        <family val="2"/>
        <scheme val="minor"/>
      </rPr>
      <t>de la mobilité</t>
    </r>
  </si>
  <si>
    <r>
      <t xml:space="preserve">Economie </t>
    </r>
    <r>
      <rPr>
        <sz val="11"/>
        <color rgb="FF000000"/>
        <rFont val="Calibri"/>
        <family val="2"/>
        <scheme val="minor"/>
      </rPr>
      <t>de la mobilité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</si>
</sst>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_-* #,##0.00\ &quot;BF&quot;_-;\-* #,##0.00\ &quot;BF&quot;_-;_-* &quot;-&quot;??\ &quot;BF&quot;_-;_-@_-"/>
    <numFmt numFmtId="166" formatCode="#,##0\ &quot;F&quot;"/>
    <numFmt numFmtId="167" formatCode="_-* #,##0.00\ _B_F_-;\-* #,##0.00\ _B_F_-;_-* &quot;-&quot;??\ _B_F_-;_-@_-"/>
    <numFmt numFmtId="168" formatCode="#,##0\ &quot;€&quot;"/>
    <numFmt numFmtId="169" formatCode="#,##0_ ;\-#,##0\ "/>
    <numFmt numFmtId="170" formatCode="_-* #,##0\ [$€]_-;\-* #,##0\ [$€]_-;_-* &quot;-&quot;??\ [$€]_-;_-@_-"/>
    <numFmt numFmtId="171" formatCode="_-* #,##0\ [$€-803]_-;\-* #,##0\ [$€-803]_-;_-* &quot;-&quot;??\ [$€-803]_-;_-@_-"/>
    <numFmt numFmtId="172" formatCode="#,##0.00_ ;\-#,##0.00\ "/>
    <numFmt numFmtId="173" formatCode="_-* #,##0\ &quot;€&quot;_-;\-* #,##0\ &quot;€&quot;_-;_-* &quot;-&quot;??\ &quot;€&quot;_-;_-@_-"/>
    <numFmt numFmtId="174" formatCode="#,##0.00\ &quot;€&quot;"/>
  </numFmts>
  <fonts count="3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rgb="FF000000"/>
      <name val="Times New Roman"/>
      <family val="1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6" tint="0.79998168889431442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indexed="62"/>
      <name val="Calibri"/>
      <family val="2"/>
      <scheme val="minor"/>
    </font>
    <font>
      <b/>
      <sz val="10"/>
      <color indexed="62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u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trike/>
      <sz val="11"/>
      <color rgb="FF00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842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18F8F"/>
        <bgColor indexed="64"/>
      </patternFill>
    </fill>
    <fill>
      <patternFill patternType="solid">
        <fgColor rgb="FFFAF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8EDEC"/>
        <bgColor indexed="64"/>
      </patternFill>
    </fill>
    <fill>
      <patternFill patternType="solid">
        <fgColor rgb="FFF6B8B8"/>
        <bgColor indexed="64"/>
      </patternFill>
    </fill>
    <fill>
      <patternFill patternType="solid">
        <fgColor theme="0" tint="-0.14999847407452621"/>
        <bgColor indexed="64"/>
      </patternFill>
    </fill>
  </fills>
  <borders count="7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indexed="64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/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medium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</borders>
  <cellStyleXfs count="17">
    <xf numFmtId="0" fontId="0" fillId="0" borderId="0"/>
    <xf numFmtId="44" fontId="3" fillId="0" borderId="0" applyFont="0" applyFill="0" applyBorder="0" applyAlignment="0" applyProtection="0"/>
    <xf numFmtId="0" fontId="3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9" fontId="6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1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582">
    <xf numFmtId="0" fontId="0" fillId="0" borderId="0" xfId="0"/>
    <xf numFmtId="0" fontId="0" fillId="2" borderId="0" xfId="0" applyFill="1" applyAlignment="1">
      <alignment vertical="center"/>
    </xf>
    <xf numFmtId="0" fontId="3" fillId="2" borderId="0" xfId="0" applyFont="1" applyFill="1" applyAlignment="1">
      <alignment vertical="center"/>
    </xf>
    <xf numFmtId="0" fontId="2" fillId="2" borderId="4" xfId="1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0" fillId="2" borderId="0" xfId="0" applyFill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12" fillId="2" borderId="0" xfId="0" applyFont="1" applyFill="1" applyAlignment="1">
      <alignment vertical="center" wrapText="1"/>
    </xf>
    <xf numFmtId="0" fontId="12" fillId="2" borderId="0" xfId="0" applyFont="1" applyFill="1" applyAlignment="1">
      <alignment vertical="center"/>
    </xf>
    <xf numFmtId="0" fontId="12" fillId="2" borderId="0" xfId="0" applyFont="1" applyFill="1" applyAlignment="1">
      <alignment horizontal="left" vertical="center"/>
    </xf>
    <xf numFmtId="0" fontId="14" fillId="2" borderId="0" xfId="10" applyFont="1" applyFill="1" applyAlignment="1">
      <alignment wrapText="1"/>
    </xf>
    <xf numFmtId="0" fontId="15" fillId="3" borderId="22" xfId="10" applyFont="1" applyFill="1" applyBorder="1" applyAlignment="1">
      <alignment horizontal="center" vertical="center" wrapText="1"/>
    </xf>
    <xf numFmtId="1" fontId="13" fillId="2" borderId="9" xfId="10" applyNumberFormat="1" applyFont="1" applyFill="1" applyBorder="1" applyAlignment="1">
      <alignment horizontal="center" vertical="center" wrapText="1"/>
    </xf>
    <xf numFmtId="0" fontId="14" fillId="6" borderId="5" xfId="10" applyFont="1" applyFill="1" applyBorder="1" applyAlignment="1">
      <alignment horizontal="center" vertical="center"/>
    </xf>
    <xf numFmtId="0" fontId="14" fillId="4" borderId="31" xfId="10" applyFont="1" applyFill="1" applyBorder="1" applyAlignment="1">
      <alignment horizontal="center" vertical="center"/>
    </xf>
    <xf numFmtId="0" fontId="14" fillId="6" borderId="45" xfId="10" applyFont="1" applyFill="1" applyBorder="1" applyAlignment="1">
      <alignment horizontal="center" vertical="center"/>
    </xf>
    <xf numFmtId="0" fontId="14" fillId="7" borderId="9" xfId="10" applyFont="1" applyFill="1" applyBorder="1" applyAlignment="1">
      <alignment horizontal="center" vertical="center"/>
    </xf>
    <xf numFmtId="0" fontId="16" fillId="7" borderId="10" xfId="10" applyFont="1" applyFill="1" applyBorder="1" applyAlignment="1">
      <alignment vertical="center"/>
    </xf>
    <xf numFmtId="1" fontId="12" fillId="7" borderId="9" xfId="9" applyNumberFormat="1" applyFont="1" applyFill="1" applyBorder="1" applyAlignment="1" applyProtection="1">
      <alignment horizontal="center" vertical="center"/>
    </xf>
    <xf numFmtId="0" fontId="15" fillId="3" borderId="18" xfId="0" applyFont="1" applyFill="1" applyBorder="1" applyAlignment="1">
      <alignment vertical="center"/>
    </xf>
    <xf numFmtId="0" fontId="15" fillId="3" borderId="38" xfId="0" applyFont="1" applyFill="1" applyBorder="1" applyAlignment="1">
      <alignment horizontal="center" vertical="center"/>
    </xf>
    <xf numFmtId="0" fontId="15" fillId="3" borderId="18" xfId="0" applyFont="1" applyFill="1" applyBorder="1" applyAlignment="1">
      <alignment horizontal="center" vertical="center"/>
    </xf>
    <xf numFmtId="164" fontId="15" fillId="3" borderId="18" xfId="0" applyNumberFormat="1" applyFont="1" applyFill="1" applyBorder="1" applyAlignment="1">
      <alignment horizontal="center" vertical="center"/>
    </xf>
    <xf numFmtId="0" fontId="12" fillId="2" borderId="0" xfId="0" applyFont="1" applyFill="1" applyAlignment="1">
      <alignment horizontal="right" vertical="center"/>
    </xf>
    <xf numFmtId="164" fontId="12" fillId="4" borderId="44" xfId="12" applyNumberFormat="1" applyFont="1" applyFill="1" applyBorder="1" applyAlignment="1" applyProtection="1">
      <alignment horizontal="center" vertical="center"/>
    </xf>
    <xf numFmtId="0" fontId="17" fillId="6" borderId="37" xfId="10" applyFont="1" applyFill="1" applyBorder="1" applyAlignment="1">
      <alignment horizontal="center" vertical="center"/>
    </xf>
    <xf numFmtId="0" fontId="14" fillId="2" borderId="22" xfId="10" applyFont="1" applyFill="1" applyBorder="1" applyAlignment="1" applyProtection="1">
      <alignment horizontal="center" vertical="center"/>
      <protection locked="0"/>
    </xf>
    <xf numFmtId="0" fontId="16" fillId="2" borderId="4" xfId="10" applyFont="1" applyFill="1" applyBorder="1" applyAlignment="1" applyProtection="1">
      <alignment vertical="center"/>
      <protection locked="0"/>
    </xf>
    <xf numFmtId="1" fontId="12" fillId="0" borderId="4" xfId="9" applyNumberFormat="1" applyFont="1" applyBorder="1" applyAlignment="1" applyProtection="1">
      <alignment horizontal="center" vertical="center"/>
      <protection locked="0"/>
    </xf>
    <xf numFmtId="0" fontId="14" fillId="2" borderId="4" xfId="10" applyFont="1" applyFill="1" applyBorder="1" applyAlignment="1" applyProtection="1">
      <alignment horizontal="center" vertical="center"/>
      <protection locked="0"/>
    </xf>
    <xf numFmtId="0" fontId="16" fillId="2" borderId="21" xfId="10" applyFont="1" applyFill="1" applyBorder="1" applyAlignment="1" applyProtection="1">
      <alignment vertical="center"/>
      <protection locked="0"/>
    </xf>
    <xf numFmtId="0" fontId="14" fillId="0" borderId="21" xfId="10" applyFont="1" applyBorder="1" applyAlignment="1" applyProtection="1">
      <alignment horizontal="center" vertical="center"/>
      <protection locked="0"/>
    </xf>
    <xf numFmtId="0" fontId="12" fillId="0" borderId="7" xfId="9" applyNumberFormat="1" applyFont="1" applyBorder="1" applyAlignment="1" applyProtection="1">
      <alignment horizontal="center" vertical="center"/>
      <protection locked="0"/>
    </xf>
    <xf numFmtId="0" fontId="15" fillId="3" borderId="18" xfId="0" applyFont="1" applyFill="1" applyBorder="1" applyAlignment="1">
      <alignment horizontal="left" vertical="center"/>
    </xf>
    <xf numFmtId="0" fontId="14" fillId="0" borderId="40" xfId="10" applyFont="1" applyBorder="1" applyAlignment="1" applyProtection="1">
      <alignment horizontal="center" vertical="center"/>
      <protection locked="0"/>
    </xf>
    <xf numFmtId="0" fontId="14" fillId="0" borderId="45" xfId="10" applyFont="1" applyBorder="1" applyAlignment="1" applyProtection="1">
      <alignment horizontal="center" vertical="center"/>
      <protection locked="0"/>
    </xf>
    <xf numFmtId="0" fontId="14" fillId="0" borderId="2" xfId="10" applyFont="1" applyBorder="1" applyAlignment="1" applyProtection="1">
      <alignment horizontal="center" vertical="center"/>
      <protection locked="0"/>
    </xf>
    <xf numFmtId="0" fontId="14" fillId="0" borderId="47" xfId="10" applyFont="1" applyBorder="1" applyAlignment="1" applyProtection="1">
      <alignment horizontal="center" vertical="center"/>
      <protection locked="0"/>
    </xf>
    <xf numFmtId="0" fontId="17" fillId="0" borderId="30" xfId="10" applyFont="1" applyBorder="1" applyAlignment="1" applyProtection="1">
      <alignment horizontal="center" vertical="center"/>
      <protection locked="0"/>
    </xf>
    <xf numFmtId="0" fontId="17" fillId="0" borderId="21" xfId="10" applyFont="1" applyBorder="1" applyAlignment="1" applyProtection="1">
      <alignment horizontal="center" vertical="center"/>
      <protection locked="0"/>
    </xf>
    <xf numFmtId="0" fontId="14" fillId="7" borderId="16" xfId="10" applyFont="1" applyFill="1" applyBorder="1" applyAlignment="1">
      <alignment horizontal="center" vertical="center"/>
    </xf>
    <xf numFmtId="0" fontId="10" fillId="3" borderId="29" xfId="10" applyFont="1" applyFill="1" applyBorder="1" applyAlignment="1">
      <alignment horizontal="center" vertical="center" wrapText="1"/>
    </xf>
    <xf numFmtId="0" fontId="15" fillId="3" borderId="11" xfId="0" applyFont="1" applyFill="1" applyBorder="1" applyAlignment="1">
      <alignment horizontal="center" vertical="center"/>
    </xf>
    <xf numFmtId="0" fontId="14" fillId="0" borderId="3" xfId="10" applyFont="1" applyBorder="1" applyAlignment="1" applyProtection="1">
      <alignment horizontal="center" vertical="center"/>
      <protection locked="0"/>
    </xf>
    <xf numFmtId="164" fontId="14" fillId="7" borderId="10" xfId="10" applyNumberFormat="1" applyFont="1" applyFill="1" applyBorder="1" applyAlignment="1">
      <alignment horizontal="center" vertical="center"/>
    </xf>
    <xf numFmtId="164" fontId="17" fillId="7" borderId="9" xfId="10" applyNumberFormat="1" applyFont="1" applyFill="1" applyBorder="1" applyAlignment="1">
      <alignment horizontal="center" vertical="center"/>
    </xf>
    <xf numFmtId="164" fontId="15" fillId="3" borderId="12" xfId="0" applyNumberFormat="1" applyFont="1" applyFill="1" applyBorder="1" applyAlignment="1">
      <alignment horizontal="center" vertical="center"/>
    </xf>
    <xf numFmtId="0" fontId="16" fillId="2" borderId="14" xfId="10" applyFont="1" applyFill="1" applyBorder="1" applyAlignment="1" applyProtection="1">
      <alignment vertical="center"/>
      <protection locked="0"/>
    </xf>
    <xf numFmtId="0" fontId="12" fillId="0" borderId="50" xfId="9" applyNumberFormat="1" applyFont="1" applyBorder="1" applyAlignment="1" applyProtection="1">
      <alignment horizontal="center" vertical="center"/>
      <protection locked="0"/>
    </xf>
    <xf numFmtId="0" fontId="12" fillId="7" borderId="8" xfId="9" applyNumberFormat="1" applyFont="1" applyFill="1" applyBorder="1" applyAlignment="1" applyProtection="1">
      <alignment horizontal="center" vertical="center"/>
    </xf>
    <xf numFmtId="0" fontId="15" fillId="3" borderId="27" xfId="10" applyFont="1" applyFill="1" applyBorder="1" applyAlignment="1">
      <alignment horizontal="center" vertical="center" wrapText="1"/>
    </xf>
    <xf numFmtId="0" fontId="15" fillId="3" borderId="52" xfId="10" applyFont="1" applyFill="1" applyBorder="1" applyAlignment="1">
      <alignment horizontal="center" vertical="center" wrapText="1"/>
    </xf>
    <xf numFmtId="0" fontId="14" fillId="2" borderId="7" xfId="10" applyFont="1" applyFill="1" applyBorder="1" applyAlignment="1" applyProtection="1">
      <alignment horizontal="center" vertical="center" wrapText="1"/>
      <protection locked="0"/>
    </xf>
    <xf numFmtId="0" fontId="14" fillId="2" borderId="13" xfId="10" applyFont="1" applyFill="1" applyBorder="1" applyAlignment="1" applyProtection="1">
      <alignment horizontal="center" vertical="center" wrapText="1"/>
      <protection locked="0"/>
    </xf>
    <xf numFmtId="0" fontId="14" fillId="7" borderId="8" xfId="10" applyFont="1" applyFill="1" applyBorder="1" applyAlignment="1">
      <alignment horizontal="center" vertical="center" wrapText="1"/>
    </xf>
    <xf numFmtId="0" fontId="14" fillId="0" borderId="60" xfId="10" applyFont="1" applyBorder="1" applyAlignment="1" applyProtection="1">
      <alignment horizontal="center" vertical="center"/>
      <protection locked="0"/>
    </xf>
    <xf numFmtId="0" fontId="14" fillId="0" borderId="30" xfId="10" applyFont="1" applyBorder="1" applyAlignment="1" applyProtection="1">
      <alignment horizontal="center" vertical="center"/>
      <protection locked="0"/>
    </xf>
    <xf numFmtId="0" fontId="17" fillId="6" borderId="61" xfId="10" applyFont="1" applyFill="1" applyBorder="1" applyAlignment="1">
      <alignment horizontal="center" vertical="center"/>
    </xf>
    <xf numFmtId="164" fontId="12" fillId="4" borderId="62" xfId="12" applyNumberFormat="1" applyFont="1" applyFill="1" applyBorder="1" applyAlignment="1" applyProtection="1">
      <alignment horizontal="center" vertical="center"/>
    </xf>
    <xf numFmtId="0" fontId="14" fillId="4" borderId="61" xfId="10" applyFont="1" applyFill="1" applyBorder="1" applyAlignment="1">
      <alignment horizontal="center" vertical="center"/>
    </xf>
    <xf numFmtId="0" fontId="12" fillId="7" borderId="23" xfId="9" applyNumberFormat="1" applyFont="1" applyFill="1" applyBorder="1" applyAlignment="1" applyProtection="1">
      <alignment horizontal="center" vertical="center"/>
    </xf>
    <xf numFmtId="0" fontId="12" fillId="7" borderId="39" xfId="9" applyNumberFormat="1" applyFont="1" applyFill="1" applyBorder="1" applyAlignment="1" applyProtection="1">
      <alignment horizontal="left" vertical="center"/>
    </xf>
    <xf numFmtId="0" fontId="14" fillId="7" borderId="23" xfId="10" applyFont="1" applyFill="1" applyBorder="1" applyAlignment="1">
      <alignment horizontal="left" vertical="center"/>
    </xf>
    <xf numFmtId="0" fontId="16" fillId="7" borderId="16" xfId="10" applyFont="1" applyFill="1" applyBorder="1" applyAlignment="1">
      <alignment vertical="center"/>
    </xf>
    <xf numFmtId="0" fontId="17" fillId="7" borderId="51" xfId="10" applyFont="1" applyFill="1" applyBorder="1" applyAlignment="1">
      <alignment horizontal="center" vertical="center"/>
    </xf>
    <xf numFmtId="1" fontId="15" fillId="3" borderId="12" xfId="0" applyNumberFormat="1" applyFont="1" applyFill="1" applyBorder="1" applyAlignment="1">
      <alignment horizontal="center" vertical="center"/>
    </xf>
    <xf numFmtId="0" fontId="15" fillId="3" borderId="60" xfId="10" applyFont="1" applyFill="1" applyBorder="1" applyAlignment="1">
      <alignment horizontal="center" vertical="center" wrapText="1"/>
    </xf>
    <xf numFmtId="0" fontId="7" fillId="2" borderId="0" xfId="0" applyFont="1" applyFill="1" applyAlignment="1">
      <alignment vertical="center"/>
    </xf>
    <xf numFmtId="0" fontId="7" fillId="2" borderId="0" xfId="0" applyFont="1" applyFill="1" applyAlignment="1">
      <alignment horizontal="center" vertical="center"/>
    </xf>
    <xf numFmtId="166" fontId="7" fillId="2" borderId="0" xfId="14" applyNumberFormat="1" applyFont="1" applyFill="1" applyAlignment="1" applyProtection="1">
      <alignment vertical="center"/>
    </xf>
    <xf numFmtId="166" fontId="7" fillId="2" borderId="0" xfId="14" applyNumberFormat="1" applyFont="1" applyFill="1" applyAlignment="1" applyProtection="1">
      <alignment horizontal="center" vertical="center"/>
    </xf>
    <xf numFmtId="0" fontId="7" fillId="0" borderId="0" xfId="0" applyFont="1" applyAlignment="1">
      <alignment vertical="center"/>
    </xf>
    <xf numFmtId="0" fontId="8" fillId="2" borderId="0" xfId="0" applyFont="1" applyFill="1" applyAlignment="1">
      <alignment horizontal="right" vertical="center"/>
    </xf>
    <xf numFmtId="0" fontId="8" fillId="2" borderId="0" xfId="0" applyFont="1" applyFill="1" applyAlignment="1">
      <alignment horizontal="center" vertical="center"/>
    </xf>
    <xf numFmtId="0" fontId="7" fillId="8" borderId="4" xfId="0" applyFont="1" applyFill="1" applyBorder="1" applyAlignment="1" applyProtection="1">
      <alignment horizontal="center" vertical="center"/>
      <protection locked="0"/>
    </xf>
    <xf numFmtId="0" fontId="7" fillId="8" borderId="4" xfId="15" applyNumberFormat="1" applyFont="1" applyFill="1" applyBorder="1" applyAlignment="1" applyProtection="1">
      <alignment horizontal="center" vertical="center"/>
    </xf>
    <xf numFmtId="0" fontId="8" fillId="2" borderId="0" xfId="0" applyFont="1" applyFill="1" applyAlignment="1">
      <alignment horizontal="left" vertical="center"/>
    </xf>
    <xf numFmtId="0" fontId="7" fillId="8" borderId="4" xfId="15" applyNumberFormat="1" applyFont="1" applyFill="1" applyBorder="1" applyAlignment="1" applyProtection="1">
      <alignment horizontal="center" vertical="center"/>
      <protection locked="0"/>
    </xf>
    <xf numFmtId="0" fontId="7" fillId="2" borderId="0" xfId="0" applyFont="1" applyFill="1" applyAlignment="1" applyProtection="1">
      <alignment horizontal="center" vertical="center"/>
      <protection locked="0"/>
    </xf>
    <xf numFmtId="0" fontId="8" fillId="2" borderId="0" xfId="0" applyFont="1" applyFill="1" applyAlignment="1">
      <alignment vertical="center"/>
    </xf>
    <xf numFmtId="168" fontId="8" fillId="2" borderId="4" xfId="0" applyNumberFormat="1" applyFont="1" applyFill="1" applyBorder="1" applyAlignment="1">
      <alignment vertical="center"/>
    </xf>
    <xf numFmtId="0" fontId="7" fillId="2" borderId="3" xfId="0" applyFont="1" applyFill="1" applyBorder="1" applyAlignment="1">
      <alignment vertical="center"/>
    </xf>
    <xf numFmtId="0" fontId="7" fillId="2" borderId="2" xfId="0" applyFont="1" applyFill="1" applyBorder="1" applyAlignment="1" applyProtection="1">
      <alignment horizontal="right" vertical="center"/>
      <protection locked="0"/>
    </xf>
    <xf numFmtId="0" fontId="9" fillId="3" borderId="11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/>
    </xf>
    <xf numFmtId="0" fontId="18" fillId="2" borderId="0" xfId="0" applyFont="1" applyFill="1" applyAlignment="1">
      <alignment vertical="center"/>
    </xf>
    <xf numFmtId="0" fontId="7" fillId="2" borderId="16" xfId="0" applyFont="1" applyFill="1" applyBorder="1" applyAlignment="1">
      <alignment horizontal="center" vertical="center"/>
    </xf>
    <xf numFmtId="168" fontId="7" fillId="8" borderId="4" xfId="0" applyNumberFormat="1" applyFont="1" applyFill="1" applyBorder="1" applyAlignment="1" applyProtection="1">
      <alignment vertical="center"/>
      <protection locked="0"/>
    </xf>
    <xf numFmtId="0" fontId="7" fillId="2" borderId="4" xfId="0" applyFont="1" applyFill="1" applyBorder="1" applyAlignment="1">
      <alignment horizontal="center" vertical="center"/>
    </xf>
    <xf numFmtId="168" fontId="7" fillId="2" borderId="4" xfId="0" applyNumberFormat="1" applyFont="1" applyFill="1" applyBorder="1" applyAlignment="1">
      <alignment vertical="center"/>
    </xf>
    <xf numFmtId="168" fontId="7" fillId="10" borderId="3" xfId="0" applyNumberFormat="1" applyFont="1" applyFill="1" applyBorder="1" applyAlignment="1">
      <alignment vertical="center"/>
    </xf>
    <xf numFmtId="168" fontId="7" fillId="10" borderId="10" xfId="0" applyNumberFormat="1" applyFont="1" applyFill="1" applyBorder="1" applyAlignment="1">
      <alignment vertical="center"/>
    </xf>
    <xf numFmtId="168" fontId="7" fillId="10" borderId="16" xfId="0" applyNumberFormat="1" applyFont="1" applyFill="1" applyBorder="1" applyAlignment="1">
      <alignment vertical="center"/>
    </xf>
    <xf numFmtId="168" fontId="7" fillId="10" borderId="48" xfId="0" applyNumberFormat="1" applyFont="1" applyFill="1" applyBorder="1" applyAlignment="1">
      <alignment horizontal="center" vertical="center"/>
    </xf>
    <xf numFmtId="0" fontId="7" fillId="2" borderId="7" xfId="0" applyFont="1" applyFill="1" applyBorder="1" applyAlignment="1">
      <alignment vertical="center"/>
    </xf>
    <xf numFmtId="0" fontId="7" fillId="8" borderId="4" xfId="0" applyFont="1" applyFill="1" applyBorder="1" applyAlignment="1" applyProtection="1">
      <alignment vertical="center"/>
      <protection locked="0"/>
    </xf>
    <xf numFmtId="9" fontId="7" fillId="8" borderId="4" xfId="12" applyFont="1" applyFill="1" applyBorder="1" applyAlignment="1" applyProtection="1">
      <alignment horizontal="center" vertical="center"/>
      <protection locked="0"/>
    </xf>
    <xf numFmtId="0" fontId="7" fillId="2" borderId="28" xfId="0" applyFont="1" applyFill="1" applyBorder="1" applyAlignment="1">
      <alignment vertical="center"/>
    </xf>
    <xf numFmtId="0" fontId="7" fillId="8" borderId="21" xfId="0" applyFont="1" applyFill="1" applyBorder="1" applyAlignment="1" applyProtection="1">
      <alignment vertical="center"/>
      <protection locked="0"/>
    </xf>
    <xf numFmtId="168" fontId="7" fillId="8" borderId="21" xfId="0" applyNumberFormat="1" applyFont="1" applyFill="1" applyBorder="1" applyAlignment="1" applyProtection="1">
      <alignment vertical="center"/>
      <protection locked="0"/>
    </xf>
    <xf numFmtId="0" fontId="8" fillId="2" borderId="36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vertical="center"/>
    </xf>
    <xf numFmtId="168" fontId="8" fillId="2" borderId="36" xfId="0" applyNumberFormat="1" applyFont="1" applyFill="1" applyBorder="1" applyAlignment="1">
      <alignment vertical="center"/>
    </xf>
    <xf numFmtId="168" fontId="8" fillId="2" borderId="9" xfId="0" applyNumberFormat="1" applyFont="1" applyFill="1" applyBorder="1" applyAlignment="1">
      <alignment vertical="center"/>
    </xf>
    <xf numFmtId="168" fontId="8" fillId="2" borderId="0" xfId="0" applyNumberFormat="1" applyFont="1" applyFill="1" applyAlignment="1">
      <alignment vertical="center"/>
    </xf>
    <xf numFmtId="0" fontId="9" fillId="3" borderId="30" xfId="0" applyFont="1" applyFill="1" applyBorder="1" applyAlignment="1">
      <alignment horizontal="center" vertical="center" wrapText="1"/>
    </xf>
    <xf numFmtId="168" fontId="8" fillId="0" borderId="9" xfId="0" applyNumberFormat="1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166" fontId="7" fillId="0" borderId="0" xfId="14" applyNumberFormat="1" applyFont="1" applyAlignment="1" applyProtection="1">
      <alignment vertical="center"/>
    </xf>
    <xf numFmtId="166" fontId="7" fillId="0" borderId="0" xfId="14" applyNumberFormat="1" applyFont="1" applyAlignment="1" applyProtection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7" fillId="0" borderId="3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4" xfId="0" applyFont="1" applyBorder="1" applyAlignment="1">
      <alignment horizontal="center" vertical="center"/>
    </xf>
    <xf numFmtId="0" fontId="7" fillId="0" borderId="4" xfId="15" applyNumberFormat="1" applyFont="1" applyFill="1" applyBorder="1" applyAlignment="1" applyProtection="1">
      <alignment horizontal="center" vertical="center"/>
    </xf>
    <xf numFmtId="0" fontId="8" fillId="0" borderId="0" xfId="0" applyFont="1" applyAlignment="1">
      <alignment vertical="center"/>
    </xf>
    <xf numFmtId="0" fontId="7" fillId="2" borderId="0" xfId="0" applyFont="1" applyFill="1" applyAlignment="1">
      <alignment horizontal="left"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horizontal="right" vertical="center" wrapText="1"/>
    </xf>
    <xf numFmtId="169" fontId="22" fillId="0" borderId="0" xfId="15" applyNumberFormat="1" applyFont="1" applyFill="1" applyBorder="1" applyAlignment="1" applyProtection="1">
      <alignment horizontal="center" vertical="center"/>
    </xf>
    <xf numFmtId="43" fontId="22" fillId="0" borderId="0" xfId="0" applyNumberFormat="1" applyFont="1" applyAlignment="1">
      <alignment horizontal="right" vertical="center"/>
    </xf>
    <xf numFmtId="170" fontId="7" fillId="2" borderId="0" xfId="0" applyNumberFormat="1" applyFont="1" applyFill="1" applyAlignment="1">
      <alignment horizontal="center" vertical="center"/>
    </xf>
    <xf numFmtId="0" fontId="9" fillId="3" borderId="19" xfId="0" applyFont="1" applyFill="1" applyBorder="1" applyAlignment="1">
      <alignment vertical="center"/>
    </xf>
    <xf numFmtId="0" fontId="9" fillId="3" borderId="18" xfId="0" applyFont="1" applyFill="1" applyBorder="1" applyAlignment="1">
      <alignment vertical="center"/>
    </xf>
    <xf numFmtId="0" fontId="9" fillId="3" borderId="34" xfId="0" applyFont="1" applyFill="1" applyBorder="1" applyAlignment="1">
      <alignment vertical="center"/>
    </xf>
    <xf numFmtId="0" fontId="9" fillId="2" borderId="19" xfId="0" applyFont="1" applyFill="1" applyBorder="1" applyAlignment="1">
      <alignment horizontal="center" vertical="center"/>
    </xf>
    <xf numFmtId="0" fontId="9" fillId="2" borderId="18" xfId="0" applyFont="1" applyFill="1" applyBorder="1" applyAlignment="1">
      <alignment horizontal="center" vertical="center"/>
    </xf>
    <xf numFmtId="0" fontId="9" fillId="2" borderId="34" xfId="0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center" vertical="center"/>
    </xf>
    <xf numFmtId="0" fontId="8" fillId="2" borderId="30" xfId="0" applyFont="1" applyFill="1" applyBorder="1" applyAlignment="1">
      <alignment horizontal="center" vertical="center" wrapText="1"/>
    </xf>
    <xf numFmtId="166" fontId="8" fillId="2" borderId="30" xfId="14" applyNumberFormat="1" applyFont="1" applyFill="1" applyBorder="1" applyAlignment="1" applyProtection="1">
      <alignment horizontal="center" vertical="center" wrapText="1"/>
    </xf>
    <xf numFmtId="166" fontId="8" fillId="2" borderId="12" xfId="14" applyNumberFormat="1" applyFont="1" applyFill="1" applyBorder="1" applyAlignment="1" applyProtection="1">
      <alignment horizontal="center" vertical="center" wrapText="1"/>
    </xf>
    <xf numFmtId="166" fontId="8" fillId="2" borderId="34" xfId="14" applyNumberFormat="1" applyFont="1" applyFill="1" applyBorder="1" applyAlignment="1" applyProtection="1">
      <alignment horizontal="center" vertical="center" wrapText="1"/>
    </xf>
    <xf numFmtId="166" fontId="8" fillId="2" borderId="25" xfId="14" applyNumberFormat="1" applyFont="1" applyFill="1" applyBorder="1" applyAlignment="1" applyProtection="1">
      <alignment horizontal="center" vertical="center" wrapText="1"/>
      <protection locked="0"/>
    </xf>
    <xf numFmtId="166" fontId="8" fillId="2" borderId="12" xfId="14" applyNumberFormat="1" applyFont="1" applyFill="1" applyBorder="1" applyAlignment="1" applyProtection="1">
      <alignment horizontal="center" vertical="center" wrapText="1"/>
      <protection locked="0"/>
    </xf>
    <xf numFmtId="166" fontId="8" fillId="2" borderId="15" xfId="14" applyNumberFormat="1" applyFont="1" applyFill="1" applyBorder="1" applyAlignment="1" applyProtection="1">
      <alignment horizontal="center" vertical="center" wrapText="1"/>
      <protection locked="0"/>
    </xf>
    <xf numFmtId="166" fontId="8" fillId="2" borderId="32" xfId="14" applyNumberFormat="1" applyFont="1" applyFill="1" applyBorder="1" applyAlignment="1" applyProtection="1">
      <alignment horizontal="center" vertical="center" wrapText="1"/>
    </xf>
    <xf numFmtId="166" fontId="8" fillId="2" borderId="24" xfId="14" applyNumberFormat="1" applyFont="1" applyFill="1" applyBorder="1" applyAlignment="1" applyProtection="1">
      <alignment horizontal="center" vertical="center" wrapText="1"/>
    </xf>
    <xf numFmtId="166" fontId="8" fillId="2" borderId="0" xfId="14" applyNumberFormat="1" applyFont="1" applyFill="1" applyBorder="1" applyAlignment="1" applyProtection="1">
      <alignment horizontal="center" vertical="center" wrapText="1"/>
      <protection locked="0"/>
    </xf>
    <xf numFmtId="0" fontId="8" fillId="5" borderId="19" xfId="0" applyFont="1" applyFill="1" applyBorder="1" applyAlignment="1">
      <alignment vertical="center"/>
    </xf>
    <xf numFmtId="0" fontId="8" fillId="5" borderId="17" xfId="0" applyFont="1" applyFill="1" applyBorder="1" applyAlignment="1">
      <alignment vertical="center"/>
    </xf>
    <xf numFmtId="0" fontId="8" fillId="5" borderId="18" xfId="0" applyFont="1" applyFill="1" applyBorder="1" applyAlignment="1">
      <alignment vertical="center"/>
    </xf>
    <xf numFmtId="0" fontId="8" fillId="5" borderId="12" xfId="0" applyFont="1" applyFill="1" applyBorder="1" applyAlignment="1">
      <alignment horizontal="center" vertical="center"/>
    </xf>
    <xf numFmtId="171" fontId="8" fillId="5" borderId="12" xfId="0" applyNumberFormat="1" applyFont="1" applyFill="1" applyBorder="1" applyAlignment="1">
      <alignment vertical="center"/>
    </xf>
    <xf numFmtId="171" fontId="8" fillId="5" borderId="18" xfId="0" applyNumberFormat="1" applyFont="1" applyFill="1" applyBorder="1" applyAlignment="1">
      <alignment vertical="center"/>
    </xf>
    <xf numFmtId="171" fontId="8" fillId="5" borderId="17" xfId="0" applyNumberFormat="1" applyFont="1" applyFill="1" applyBorder="1" applyAlignment="1">
      <alignment vertical="center"/>
    </xf>
    <xf numFmtId="171" fontId="8" fillId="5" borderId="32" xfId="0" applyNumberFormat="1" applyFont="1" applyFill="1" applyBorder="1" applyAlignment="1">
      <alignment vertical="center"/>
    </xf>
    <xf numFmtId="171" fontId="8" fillId="5" borderId="11" xfId="0" applyNumberFormat="1" applyFont="1" applyFill="1" applyBorder="1" applyAlignment="1">
      <alignment vertical="center"/>
    </xf>
    <xf numFmtId="9" fontId="8" fillId="2" borderId="1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 applyProtection="1">
      <alignment horizontal="left" vertical="center"/>
      <protection locked="0"/>
    </xf>
    <xf numFmtId="1" fontId="8" fillId="2" borderId="50" xfId="15" applyNumberFormat="1" applyFont="1" applyFill="1" applyBorder="1" applyAlignment="1" applyProtection="1">
      <alignment horizontal="left" vertical="center"/>
    </xf>
    <xf numFmtId="0" fontId="8" fillId="0" borderId="66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55" xfId="0" applyFont="1" applyBorder="1" applyAlignment="1">
      <alignment vertical="center"/>
    </xf>
    <xf numFmtId="172" fontId="8" fillId="0" borderId="55" xfId="0" applyNumberFormat="1" applyFont="1" applyBorder="1" applyAlignment="1">
      <alignment horizontal="center" vertical="center" wrapText="1"/>
    </xf>
    <xf numFmtId="173" fontId="8" fillId="0" borderId="55" xfId="16" applyNumberFormat="1" applyFont="1" applyFill="1" applyBorder="1" applyAlignment="1" applyProtection="1">
      <alignment vertical="center" wrapText="1"/>
    </xf>
    <xf numFmtId="173" fontId="8" fillId="0" borderId="61" xfId="16" applyNumberFormat="1" applyFont="1" applyFill="1" applyBorder="1" applyAlignment="1" applyProtection="1">
      <alignment vertical="center" wrapText="1"/>
    </xf>
    <xf numFmtId="173" fontId="8" fillId="0" borderId="54" xfId="16" applyNumberFormat="1" applyFont="1" applyFill="1" applyBorder="1" applyAlignment="1" applyProtection="1">
      <alignment vertical="center" wrapText="1"/>
    </xf>
    <xf numFmtId="170" fontId="24" fillId="2" borderId="0" xfId="0" applyNumberFormat="1" applyFont="1" applyFill="1" applyAlignment="1">
      <alignment horizontal="center" vertical="center" wrapText="1"/>
    </xf>
    <xf numFmtId="0" fontId="25" fillId="2" borderId="0" xfId="0" applyFont="1" applyFill="1" applyAlignment="1">
      <alignment vertical="center"/>
    </xf>
    <xf numFmtId="1" fontId="7" fillId="2" borderId="13" xfId="15" applyNumberFormat="1" applyFont="1" applyFill="1" applyBorder="1" applyAlignment="1" applyProtection="1">
      <alignment horizontal="left" vertical="center"/>
    </xf>
    <xf numFmtId="0" fontId="7" fillId="2" borderId="5" xfId="15" applyNumberFormat="1" applyFont="1" applyFill="1" applyBorder="1" applyAlignment="1" applyProtection="1">
      <alignment horizontal="center" vertical="center"/>
    </xf>
    <xf numFmtId="170" fontId="7" fillId="2" borderId="5" xfId="0" applyNumberFormat="1" applyFont="1" applyFill="1" applyBorder="1" applyAlignment="1">
      <alignment horizontal="center" vertical="center"/>
    </xf>
    <xf numFmtId="170" fontId="7" fillId="0" borderId="5" xfId="0" applyNumberFormat="1" applyFont="1" applyBorder="1" applyAlignment="1">
      <alignment horizontal="center" vertical="center"/>
    </xf>
    <xf numFmtId="170" fontId="7" fillId="0" borderId="37" xfId="0" applyNumberFormat="1" applyFont="1" applyBorder="1" applyAlignment="1">
      <alignment horizontal="center" vertical="center"/>
    </xf>
    <xf numFmtId="170" fontId="7" fillId="8" borderId="4" xfId="15" applyNumberFormat="1" applyFont="1" applyFill="1" applyBorder="1" applyAlignment="1" applyProtection="1">
      <alignment horizontal="center" vertical="center"/>
      <protection locked="0"/>
    </xf>
    <xf numFmtId="170" fontId="7" fillId="0" borderId="35" xfId="0" applyNumberFormat="1" applyFont="1" applyBorder="1" applyAlignment="1">
      <alignment horizontal="center" vertical="center"/>
    </xf>
    <xf numFmtId="1" fontId="18" fillId="2" borderId="0" xfId="0" applyNumberFormat="1" applyFont="1" applyFill="1" applyAlignment="1">
      <alignment vertical="center"/>
    </xf>
    <xf numFmtId="1" fontId="18" fillId="0" borderId="0" xfId="0" applyNumberFormat="1" applyFont="1" applyAlignment="1">
      <alignment vertical="center"/>
    </xf>
    <xf numFmtId="170" fontId="7" fillId="0" borderId="4" xfId="0" applyNumberFormat="1" applyFont="1" applyBorder="1" applyAlignment="1">
      <alignment horizontal="center" vertical="center"/>
    </xf>
    <xf numFmtId="170" fontId="7" fillId="0" borderId="33" xfId="0" applyNumberFormat="1" applyFont="1" applyBorder="1" applyAlignment="1">
      <alignment horizontal="center" vertical="center"/>
    </xf>
    <xf numFmtId="44" fontId="7" fillId="8" borderId="4" xfId="15" applyNumberFormat="1" applyFont="1" applyFill="1" applyBorder="1" applyAlignment="1" applyProtection="1">
      <alignment horizontal="right" vertical="center"/>
      <protection locked="0"/>
    </xf>
    <xf numFmtId="173" fontId="7" fillId="8" borderId="4" xfId="15" applyNumberFormat="1" applyFont="1" applyFill="1" applyBorder="1" applyAlignment="1" applyProtection="1">
      <alignment horizontal="center" vertical="center"/>
      <protection locked="0"/>
    </xf>
    <xf numFmtId="0" fontId="8" fillId="7" borderId="9" xfId="0" applyFont="1" applyFill="1" applyBorder="1" applyAlignment="1">
      <alignment horizontal="center" vertical="center"/>
    </xf>
    <xf numFmtId="173" fontId="8" fillId="7" borderId="9" xfId="0" applyNumberFormat="1" applyFont="1" applyFill="1" applyBorder="1" applyAlignment="1">
      <alignment vertical="center"/>
    </xf>
    <xf numFmtId="170" fontId="8" fillId="7" borderId="41" xfId="0" applyNumberFormat="1" applyFont="1" applyFill="1" applyBorder="1" applyAlignment="1">
      <alignment horizontal="center" vertical="center"/>
    </xf>
    <xf numFmtId="170" fontId="8" fillId="7" borderId="36" xfId="0" applyNumberFormat="1" applyFont="1" applyFill="1" applyBorder="1" applyAlignment="1">
      <alignment horizontal="center" vertical="center"/>
    </xf>
    <xf numFmtId="170" fontId="8" fillId="7" borderId="39" xfId="0" applyNumberFormat="1" applyFont="1" applyFill="1" applyBorder="1" applyAlignment="1">
      <alignment horizontal="center" vertical="center"/>
    </xf>
    <xf numFmtId="170" fontId="8" fillId="7" borderId="20" xfId="0" applyNumberFormat="1" applyFont="1" applyFill="1" applyBorder="1" applyAlignment="1">
      <alignment horizontal="center" vertical="center"/>
    </xf>
    <xf numFmtId="170" fontId="8" fillId="2" borderId="0" xfId="0" applyNumberFormat="1" applyFont="1" applyFill="1" applyAlignment="1">
      <alignment horizontal="center" vertical="center" wrapText="1"/>
    </xf>
    <xf numFmtId="0" fontId="7" fillId="0" borderId="3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170" fontId="8" fillId="7" borderId="8" xfId="0" applyNumberFormat="1" applyFont="1" applyFill="1" applyBorder="1" applyAlignment="1">
      <alignment horizontal="center" vertical="center"/>
    </xf>
    <xf numFmtId="170" fontId="8" fillId="7" borderId="23" xfId="0" applyNumberFormat="1" applyFont="1" applyFill="1" applyBorder="1" applyAlignment="1">
      <alignment horizontal="center" vertical="center"/>
    </xf>
    <xf numFmtId="170" fontId="8" fillId="7" borderId="9" xfId="0" applyNumberFormat="1" applyFont="1" applyFill="1" applyBorder="1" applyAlignment="1">
      <alignment horizontal="center" vertical="center"/>
    </xf>
    <xf numFmtId="1" fontId="8" fillId="2" borderId="13" xfId="15" applyNumberFormat="1" applyFont="1" applyFill="1" applyBorder="1" applyAlignment="1" applyProtection="1">
      <alignment horizontal="left" vertical="center"/>
    </xf>
    <xf numFmtId="0" fontId="8" fillId="0" borderId="67" xfId="0" applyFont="1" applyBorder="1" applyAlignment="1">
      <alignment vertical="center"/>
    </xf>
    <xf numFmtId="0" fontId="8" fillId="0" borderId="24" xfId="0" applyFont="1" applyBorder="1" applyAlignment="1">
      <alignment vertical="center"/>
    </xf>
    <xf numFmtId="172" fontId="8" fillId="0" borderId="24" xfId="0" applyNumberFormat="1" applyFont="1" applyBorder="1" applyAlignment="1">
      <alignment horizontal="center" vertical="center" wrapText="1"/>
    </xf>
    <xf numFmtId="173" fontId="8" fillId="0" borderId="24" xfId="16" applyNumberFormat="1" applyFont="1" applyFill="1" applyBorder="1" applyAlignment="1" applyProtection="1">
      <alignment vertical="center" wrapText="1"/>
    </xf>
    <xf numFmtId="173" fontId="8" fillId="0" borderId="37" xfId="16" applyNumberFormat="1" applyFont="1" applyFill="1" applyBorder="1" applyAlignment="1" applyProtection="1">
      <alignment vertical="center" wrapText="1"/>
    </xf>
    <xf numFmtId="173" fontId="8" fillId="0" borderId="25" xfId="16" applyNumberFormat="1" applyFont="1" applyFill="1" applyBorder="1" applyAlignment="1" applyProtection="1">
      <alignment vertical="center" wrapText="1"/>
    </xf>
    <xf numFmtId="173" fontId="8" fillId="0" borderId="15" xfId="16" applyNumberFormat="1" applyFont="1" applyFill="1" applyBorder="1" applyAlignment="1" applyProtection="1">
      <alignment vertical="center" wrapText="1"/>
    </xf>
    <xf numFmtId="173" fontId="8" fillId="0" borderId="42" xfId="16" applyNumberFormat="1" applyFont="1" applyFill="1" applyBorder="1" applyAlignment="1" applyProtection="1">
      <alignment vertical="center" wrapText="1"/>
    </xf>
    <xf numFmtId="1" fontId="25" fillId="2" borderId="0" xfId="0" applyNumberFormat="1" applyFont="1" applyFill="1" applyAlignment="1">
      <alignment vertical="center"/>
    </xf>
    <xf numFmtId="1" fontId="7" fillId="2" borderId="0" xfId="0" applyNumberFormat="1" applyFont="1" applyFill="1" applyAlignment="1">
      <alignment vertical="center"/>
    </xf>
    <xf numFmtId="1" fontId="25" fillId="0" borderId="0" xfId="0" applyNumberFormat="1" applyFont="1" applyAlignment="1">
      <alignment vertical="center"/>
    </xf>
    <xf numFmtId="173" fontId="7" fillId="0" borderId="4" xfId="0" applyNumberFormat="1" applyFont="1" applyBorder="1" applyAlignment="1">
      <alignment vertical="center"/>
    </xf>
    <xf numFmtId="170" fontId="7" fillId="8" borderId="7" xfId="15" applyNumberFormat="1" applyFont="1" applyFill="1" applyBorder="1" applyAlignment="1" applyProtection="1">
      <alignment horizontal="center" vertical="center"/>
      <protection locked="0"/>
    </xf>
    <xf numFmtId="0" fontId="18" fillId="0" borderId="0" xfId="0" applyFont="1" applyAlignment="1">
      <alignment vertical="center"/>
    </xf>
    <xf numFmtId="0" fontId="7" fillId="8" borderId="21" xfId="15" applyNumberFormat="1" applyFont="1" applyFill="1" applyBorder="1" applyAlignment="1" applyProtection="1">
      <alignment horizontal="center" vertical="center"/>
      <protection locked="0"/>
    </xf>
    <xf numFmtId="173" fontId="7" fillId="0" borderId="21" xfId="0" applyNumberFormat="1" applyFont="1" applyBorder="1" applyAlignment="1">
      <alignment vertical="center"/>
    </xf>
    <xf numFmtId="0" fontId="7" fillId="8" borderId="7" xfId="15" applyNumberFormat="1" applyFont="1" applyFill="1" applyBorder="1" applyAlignment="1" applyProtection="1">
      <alignment horizontal="center" vertical="center"/>
      <protection locked="0"/>
    </xf>
    <xf numFmtId="0" fontId="8" fillId="7" borderId="21" xfId="0" applyFont="1" applyFill="1" applyBorder="1" applyAlignment="1">
      <alignment horizontal="center" vertical="center"/>
    </xf>
    <xf numFmtId="173" fontId="8" fillId="7" borderId="21" xfId="0" applyNumberFormat="1" applyFont="1" applyFill="1" applyBorder="1" applyAlignment="1">
      <alignment vertical="center"/>
    </xf>
    <xf numFmtId="173" fontId="8" fillId="7" borderId="59" xfId="0" applyNumberFormat="1" applyFont="1" applyFill="1" applyBorder="1" applyAlignment="1">
      <alignment vertical="center"/>
    </xf>
    <xf numFmtId="0" fontId="7" fillId="2" borderId="54" xfId="0" applyFont="1" applyFill="1" applyBorder="1" applyAlignment="1">
      <alignment vertical="center"/>
    </xf>
    <xf numFmtId="0" fontId="7" fillId="2" borderId="55" xfId="0" applyFont="1" applyFill="1" applyBorder="1" applyAlignment="1">
      <alignment horizontal="right" vertical="center" wrapText="1"/>
    </xf>
    <xf numFmtId="0" fontId="22" fillId="0" borderId="55" xfId="0" applyFont="1" applyBorder="1" applyAlignment="1">
      <alignment vertical="center"/>
    </xf>
    <xf numFmtId="0" fontId="8" fillId="2" borderId="55" xfId="0" applyFont="1" applyFill="1" applyBorder="1" applyAlignment="1">
      <alignment vertical="center" wrapText="1"/>
    </xf>
    <xf numFmtId="0" fontId="8" fillId="2" borderId="40" xfId="0" applyFont="1" applyFill="1" applyBorder="1" applyAlignment="1">
      <alignment horizontal="right" vertical="center"/>
    </xf>
    <xf numFmtId="1" fontId="7" fillId="0" borderId="22" xfId="0" applyNumberFormat="1" applyFont="1" applyBorder="1" applyAlignment="1">
      <alignment horizontal="center" vertical="center"/>
    </xf>
    <xf numFmtId="1" fontId="7" fillId="0" borderId="53" xfId="0" applyNumberFormat="1" applyFont="1" applyBorder="1" applyAlignment="1">
      <alignment horizontal="center" vertical="center"/>
    </xf>
    <xf numFmtId="170" fontId="8" fillId="2" borderId="0" xfId="0" applyNumberFormat="1" applyFont="1" applyFill="1" applyAlignment="1">
      <alignment horizontal="center" vertical="center"/>
    </xf>
    <xf numFmtId="49" fontId="25" fillId="2" borderId="0" xfId="0" applyNumberFormat="1" applyFont="1" applyFill="1" applyAlignment="1" applyProtection="1">
      <alignment horizontal="left" vertical="center"/>
      <protection locked="0"/>
    </xf>
    <xf numFmtId="0" fontId="25" fillId="0" borderId="0" xfId="0" applyFont="1" applyAlignment="1">
      <alignment vertical="center"/>
    </xf>
    <xf numFmtId="0" fontId="25" fillId="2" borderId="0" xfId="0" applyFont="1" applyFill="1" applyAlignment="1">
      <alignment horizontal="left" vertical="center"/>
    </xf>
    <xf numFmtId="0" fontId="22" fillId="2" borderId="0" xfId="0" applyFont="1" applyFill="1" applyAlignment="1">
      <alignment vertical="center"/>
    </xf>
    <xf numFmtId="0" fontId="7" fillId="2" borderId="52" xfId="0" applyFont="1" applyFill="1" applyBorder="1" applyAlignment="1">
      <alignment vertical="center"/>
    </xf>
    <xf numFmtId="0" fontId="7" fillId="2" borderId="23" xfId="0" applyFont="1" applyFill="1" applyBorder="1" applyAlignment="1">
      <alignment horizontal="right" vertical="center" wrapText="1"/>
    </xf>
    <xf numFmtId="0" fontId="22" fillId="0" borderId="23" xfId="0" applyFont="1" applyBorder="1" applyAlignment="1">
      <alignment vertical="center"/>
    </xf>
    <xf numFmtId="0" fontId="8" fillId="2" borderId="23" xfId="0" applyFont="1" applyFill="1" applyBorder="1" applyAlignment="1">
      <alignment vertical="center" wrapText="1"/>
    </xf>
    <xf numFmtId="0" fontId="8" fillId="2" borderId="41" xfId="0" applyFont="1" applyFill="1" applyBorder="1" applyAlignment="1">
      <alignment horizontal="right" vertical="center"/>
    </xf>
    <xf numFmtId="170" fontId="8" fillId="2" borderId="23" xfId="0" applyNumberFormat="1" applyFont="1" applyFill="1" applyBorder="1" applyAlignment="1">
      <alignment horizontal="center" vertical="center"/>
    </xf>
    <xf numFmtId="170" fontId="8" fillId="2" borderId="36" xfId="0" applyNumberFormat="1" applyFont="1" applyFill="1" applyBorder="1" applyAlignment="1">
      <alignment horizontal="center" vertical="center"/>
    </xf>
    <xf numFmtId="170" fontId="8" fillId="2" borderId="56" xfId="0" applyNumberFormat="1" applyFont="1" applyFill="1" applyBorder="1" applyAlignment="1">
      <alignment horizontal="center" vertical="center"/>
    </xf>
    <xf numFmtId="0" fontId="8" fillId="5" borderId="52" xfId="0" applyFont="1" applyFill="1" applyBorder="1" applyAlignment="1">
      <alignment vertical="center"/>
    </xf>
    <xf numFmtId="0" fontId="8" fillId="5" borderId="69" xfId="0" applyFont="1" applyFill="1" applyBorder="1" applyAlignment="1">
      <alignment vertical="center"/>
    </xf>
    <xf numFmtId="0" fontId="8" fillId="5" borderId="23" xfId="0" applyFont="1" applyFill="1" applyBorder="1" applyAlignment="1">
      <alignment vertical="center"/>
    </xf>
    <xf numFmtId="0" fontId="8" fillId="5" borderId="41" xfId="0" applyFont="1" applyFill="1" applyBorder="1" applyAlignment="1">
      <alignment vertical="center"/>
    </xf>
    <xf numFmtId="171" fontId="8" fillId="5" borderId="23" xfId="0" applyNumberFormat="1" applyFont="1" applyFill="1" applyBorder="1" applyAlignment="1">
      <alignment vertical="center"/>
    </xf>
    <xf numFmtId="171" fontId="8" fillId="5" borderId="69" xfId="0" applyNumberFormat="1" applyFont="1" applyFill="1" applyBorder="1" applyAlignment="1">
      <alignment vertical="center"/>
    </xf>
    <xf numFmtId="171" fontId="8" fillId="5" borderId="56" xfId="0" applyNumberFormat="1" applyFont="1" applyFill="1" applyBorder="1" applyAlignment="1">
      <alignment vertical="center"/>
    </xf>
    <xf numFmtId="171" fontId="8" fillId="5" borderId="34" xfId="0" applyNumberFormat="1" applyFont="1" applyFill="1" applyBorder="1" applyAlignment="1">
      <alignment vertical="center"/>
    </xf>
    <xf numFmtId="0" fontId="7" fillId="2" borderId="50" xfId="0" applyFont="1" applyFill="1" applyBorder="1" applyAlignment="1">
      <alignment vertical="center"/>
    </xf>
    <xf numFmtId="49" fontId="7" fillId="0" borderId="60" xfId="0" applyNumberFormat="1" applyFont="1" applyBorder="1" applyAlignment="1">
      <alignment vertical="center"/>
    </xf>
    <xf numFmtId="49" fontId="7" fillId="0" borderId="55" xfId="0" applyNumberFormat="1" applyFont="1" applyBorder="1" applyAlignment="1">
      <alignment vertical="center"/>
    </xf>
    <xf numFmtId="170" fontId="7" fillId="8" borderId="22" xfId="0" applyNumberFormat="1" applyFont="1" applyFill="1" applyBorder="1" applyAlignment="1" applyProtection="1">
      <alignment vertical="center"/>
      <protection locked="0"/>
    </xf>
    <xf numFmtId="170" fontId="7" fillId="2" borderId="22" xfId="0" applyNumberFormat="1" applyFont="1" applyFill="1" applyBorder="1" applyAlignment="1">
      <alignment horizontal="center" vertical="center"/>
    </xf>
    <xf numFmtId="170" fontId="7" fillId="2" borderId="61" xfId="0" applyNumberFormat="1" applyFont="1" applyFill="1" applyBorder="1" applyAlignment="1">
      <alignment horizontal="center" vertical="center"/>
    </xf>
    <xf numFmtId="170" fontId="7" fillId="8" borderId="50" xfId="15" applyNumberFormat="1" applyFont="1" applyFill="1" applyBorder="1" applyAlignment="1" applyProtection="1">
      <alignment horizontal="center" vertical="center"/>
      <protection locked="0"/>
    </xf>
    <xf numFmtId="170" fontId="7" fillId="8" borderId="22" xfId="15" applyNumberFormat="1" applyFont="1" applyFill="1" applyBorder="1" applyAlignment="1" applyProtection="1">
      <alignment horizontal="center" vertical="center"/>
      <protection locked="0"/>
    </xf>
    <xf numFmtId="170" fontId="7" fillId="8" borderId="40" xfId="15" applyNumberFormat="1" applyFont="1" applyFill="1" applyBorder="1" applyAlignment="1" applyProtection="1">
      <alignment horizontal="center" vertical="center"/>
      <protection locked="0"/>
    </xf>
    <xf numFmtId="170" fontId="7" fillId="0" borderId="53" xfId="0" applyNumberFormat="1" applyFont="1" applyBorder="1" applyAlignment="1">
      <alignment horizontal="center" vertical="center"/>
    </xf>
    <xf numFmtId="170" fontId="7" fillId="2" borderId="0" xfId="0" applyNumberFormat="1" applyFont="1" applyFill="1" applyAlignment="1">
      <alignment vertical="center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49" fontId="7" fillId="0" borderId="3" xfId="0" applyNumberFormat="1" applyFont="1" applyBorder="1" applyAlignment="1">
      <alignment vertical="center"/>
    </xf>
    <xf numFmtId="49" fontId="7" fillId="0" borderId="1" xfId="0" applyNumberFormat="1" applyFont="1" applyBorder="1" applyAlignment="1">
      <alignment vertical="center"/>
    </xf>
    <xf numFmtId="170" fontId="7" fillId="8" borderId="4" xfId="0" applyNumberFormat="1" applyFont="1" applyFill="1" applyBorder="1" applyAlignment="1" applyProtection="1">
      <alignment vertical="center"/>
      <protection locked="0"/>
    </xf>
    <xf numFmtId="170" fontId="7" fillId="2" borderId="37" xfId="0" applyNumberFormat="1" applyFont="1" applyFill="1" applyBorder="1" applyAlignment="1">
      <alignment horizontal="center" vertical="center"/>
    </xf>
    <xf numFmtId="170" fontId="7" fillId="8" borderId="2" xfId="15" applyNumberFormat="1" applyFont="1" applyFill="1" applyBorder="1" applyAlignment="1" applyProtection="1">
      <alignment horizontal="center" vertical="center"/>
      <protection locked="0"/>
    </xf>
    <xf numFmtId="0" fontId="7" fillId="2" borderId="8" xfId="0" applyFont="1" applyFill="1" applyBorder="1" applyAlignment="1">
      <alignment vertical="center"/>
    </xf>
    <xf numFmtId="0" fontId="7" fillId="0" borderId="65" xfId="0" applyFont="1" applyBorder="1" applyAlignment="1">
      <alignment vertical="center"/>
    </xf>
    <xf numFmtId="0" fontId="7" fillId="0" borderId="10" xfId="0" applyFont="1" applyBorder="1" applyAlignment="1">
      <alignment vertical="center"/>
    </xf>
    <xf numFmtId="0" fontId="7" fillId="0" borderId="16" xfId="0" applyFont="1" applyBorder="1" applyAlignment="1">
      <alignment vertical="center"/>
    </xf>
    <xf numFmtId="170" fontId="7" fillId="8" borderId="9" xfId="0" applyNumberFormat="1" applyFont="1" applyFill="1" applyBorder="1" applyAlignment="1" applyProtection="1">
      <alignment vertical="center"/>
      <protection locked="0"/>
    </xf>
    <xf numFmtId="170" fontId="7" fillId="2" borderId="36" xfId="0" applyNumberFormat="1" applyFont="1" applyFill="1" applyBorder="1" applyAlignment="1">
      <alignment horizontal="center" vertical="center"/>
    </xf>
    <xf numFmtId="170" fontId="7" fillId="2" borderId="39" xfId="0" applyNumberFormat="1" applyFont="1" applyFill="1" applyBorder="1" applyAlignment="1">
      <alignment horizontal="center" vertical="center"/>
    </xf>
    <xf numFmtId="170" fontId="7" fillId="8" borderId="8" xfId="15" applyNumberFormat="1" applyFont="1" applyFill="1" applyBorder="1" applyAlignment="1" applyProtection="1">
      <alignment horizontal="center" vertical="center"/>
      <protection locked="0"/>
    </xf>
    <xf numFmtId="170" fontId="7" fillId="8" borderId="9" xfId="15" applyNumberFormat="1" applyFont="1" applyFill="1" applyBorder="1" applyAlignment="1" applyProtection="1">
      <alignment horizontal="center" vertical="center"/>
      <protection locked="0"/>
    </xf>
    <xf numFmtId="170" fontId="7" fillId="8" borderId="16" xfId="15" applyNumberFormat="1" applyFont="1" applyFill="1" applyBorder="1" applyAlignment="1" applyProtection="1">
      <alignment horizontal="center" vertical="center"/>
      <protection locked="0"/>
    </xf>
    <xf numFmtId="170" fontId="7" fillId="0" borderId="51" xfId="0" applyNumberFormat="1" applyFont="1" applyBorder="1" applyAlignment="1">
      <alignment horizontal="center" vertical="center"/>
    </xf>
    <xf numFmtId="0" fontId="7" fillId="2" borderId="26" xfId="0" applyFont="1" applyFill="1" applyBorder="1" applyAlignment="1">
      <alignment vertical="center"/>
    </xf>
    <xf numFmtId="0" fontId="7" fillId="2" borderId="0" xfId="0" applyFont="1" applyFill="1" applyAlignment="1">
      <alignment horizontal="right" vertical="center" wrapText="1"/>
    </xf>
    <xf numFmtId="0" fontId="8" fillId="2" borderId="0" xfId="0" applyFont="1" applyFill="1" applyAlignment="1">
      <alignment vertical="center" wrapText="1"/>
    </xf>
    <xf numFmtId="170" fontId="8" fillId="2" borderId="12" xfId="0" applyNumberFormat="1" applyFont="1" applyFill="1" applyBorder="1" applyAlignment="1">
      <alignment horizontal="center" vertical="center"/>
    </xf>
    <xf numFmtId="0" fontId="8" fillId="5" borderId="38" xfId="0" applyFont="1" applyFill="1" applyBorder="1" applyAlignment="1">
      <alignment vertical="center"/>
    </xf>
    <xf numFmtId="170" fontId="8" fillId="5" borderId="12" xfId="0" applyNumberFormat="1" applyFont="1" applyFill="1" applyBorder="1" applyAlignment="1">
      <alignment horizontal="right" vertical="center"/>
    </xf>
    <xf numFmtId="170" fontId="8" fillId="5" borderId="32" xfId="0" applyNumberFormat="1" applyFont="1" applyFill="1" applyBorder="1" applyAlignment="1">
      <alignment horizontal="right" vertical="center"/>
    </xf>
    <xf numFmtId="170" fontId="8" fillId="5" borderId="17" xfId="0" applyNumberFormat="1" applyFont="1" applyFill="1" applyBorder="1" applyAlignment="1">
      <alignment horizontal="right" vertical="center"/>
    </xf>
    <xf numFmtId="9" fontId="8" fillId="2" borderId="49" xfId="0" applyNumberFormat="1" applyFont="1" applyFill="1" applyBorder="1" applyAlignment="1">
      <alignment horizontal="center" vertical="center"/>
    </xf>
    <xf numFmtId="170" fontId="7" fillId="0" borderId="0" xfId="0" applyNumberFormat="1" applyFont="1" applyAlignment="1">
      <alignment vertical="center"/>
    </xf>
    <xf numFmtId="0" fontId="7" fillId="2" borderId="19" xfId="0" applyFont="1" applyFill="1" applyBorder="1" applyAlignment="1">
      <alignment vertical="center"/>
    </xf>
    <xf numFmtId="0" fontId="22" fillId="0" borderId="18" xfId="0" applyFont="1" applyBorder="1" applyAlignment="1">
      <alignment vertical="center"/>
    </xf>
    <xf numFmtId="0" fontId="8" fillId="2" borderId="18" xfId="0" applyFont="1" applyFill="1" applyBorder="1" applyAlignment="1">
      <alignment vertical="center" wrapText="1"/>
    </xf>
    <xf numFmtId="0" fontId="8" fillId="2" borderId="38" xfId="0" applyFont="1" applyFill="1" applyBorder="1" applyAlignment="1">
      <alignment horizontal="right" vertical="center"/>
    </xf>
    <xf numFmtId="170" fontId="8" fillId="2" borderId="32" xfId="0" applyNumberFormat="1" applyFont="1" applyFill="1" applyBorder="1" applyAlignment="1">
      <alignment horizontal="center" vertical="center"/>
    </xf>
    <xf numFmtId="0" fontId="7" fillId="2" borderId="0" xfId="16" applyNumberFormat="1" applyFont="1" applyFill="1" applyBorder="1" applyAlignment="1" applyProtection="1">
      <alignment horizontal="center" vertical="center"/>
    </xf>
    <xf numFmtId="170" fontId="8" fillId="2" borderId="39" xfId="0" applyNumberFormat="1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vertical="center"/>
    </xf>
    <xf numFmtId="0" fontId="8" fillId="2" borderId="18" xfId="0" applyFont="1" applyFill="1" applyBorder="1" applyAlignment="1">
      <alignment vertical="center"/>
    </xf>
    <xf numFmtId="166" fontId="8" fillId="2" borderId="25" xfId="14" applyNumberFormat="1" applyFont="1" applyFill="1" applyBorder="1" applyAlignment="1" applyProtection="1">
      <alignment horizontal="center" vertical="center" wrapText="1"/>
    </xf>
    <xf numFmtId="166" fontId="8" fillId="2" borderId="0" xfId="14" applyNumberFormat="1" applyFont="1" applyFill="1" applyBorder="1" applyAlignment="1" applyProtection="1">
      <alignment horizontal="center" vertical="center" wrapText="1"/>
    </xf>
    <xf numFmtId="49" fontId="8" fillId="2" borderId="0" xfId="0" applyNumberFormat="1" applyFont="1" applyFill="1" applyAlignment="1" applyProtection="1">
      <alignment horizontal="left" vertical="center"/>
      <protection locked="0"/>
    </xf>
    <xf numFmtId="0" fontId="7" fillId="2" borderId="13" xfId="0" applyFont="1" applyFill="1" applyBorder="1" applyAlignment="1">
      <alignment vertical="center"/>
    </xf>
    <xf numFmtId="0" fontId="7" fillId="0" borderId="60" xfId="0" applyFont="1" applyBorder="1" applyAlignment="1">
      <alignment vertical="center"/>
    </xf>
    <xf numFmtId="0" fontId="7" fillId="0" borderId="55" xfId="0" applyFont="1" applyBorder="1" applyAlignment="1">
      <alignment vertical="center"/>
    </xf>
    <xf numFmtId="0" fontId="7" fillId="0" borderId="14" xfId="0" applyFont="1" applyBorder="1" applyAlignment="1">
      <alignment vertical="center"/>
    </xf>
    <xf numFmtId="170" fontId="7" fillId="8" borderId="13" xfId="15" applyNumberFormat="1" applyFont="1" applyFill="1" applyBorder="1" applyAlignment="1" applyProtection="1">
      <alignment horizontal="center" vertical="center"/>
      <protection locked="0"/>
    </xf>
    <xf numFmtId="170" fontId="7" fillId="8" borderId="5" xfId="15" applyNumberFormat="1" applyFont="1" applyFill="1" applyBorder="1" applyAlignment="1" applyProtection="1">
      <alignment horizontal="center" vertical="center"/>
      <protection locked="0"/>
    </xf>
    <xf numFmtId="0" fontId="7" fillId="8" borderId="5" xfId="15" applyNumberFormat="1" applyFont="1" applyFill="1" applyBorder="1" applyAlignment="1" applyProtection="1">
      <alignment horizontal="center" vertical="center"/>
      <protection locked="0"/>
    </xf>
    <xf numFmtId="0" fontId="7" fillId="0" borderId="63" xfId="0" applyFont="1" applyBorder="1" applyAlignment="1">
      <alignment vertical="center"/>
    </xf>
    <xf numFmtId="0" fontId="7" fillId="0" borderId="24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173" fontId="8" fillId="2" borderId="0" xfId="16" applyNumberFormat="1" applyFont="1" applyFill="1" applyBorder="1" applyAlignment="1" applyProtection="1">
      <alignment horizontal="center" vertical="center" wrapText="1"/>
    </xf>
    <xf numFmtId="0" fontId="7" fillId="2" borderId="0" xfId="0" applyFont="1" applyFill="1" applyAlignment="1" applyProtection="1">
      <alignment horizontal="left" vertical="center"/>
      <protection locked="0"/>
    </xf>
    <xf numFmtId="49" fontId="7" fillId="2" borderId="1" xfId="0" applyNumberFormat="1" applyFont="1" applyFill="1" applyBorder="1" applyAlignment="1" applyProtection="1">
      <alignment horizontal="left" vertical="center"/>
      <protection locked="0"/>
    </xf>
    <xf numFmtId="9" fontId="8" fillId="2" borderId="3" xfId="12" applyFont="1" applyFill="1" applyBorder="1" applyAlignment="1" applyProtection="1">
      <alignment horizontal="center" vertical="center"/>
    </xf>
    <xf numFmtId="0" fontId="7" fillId="0" borderId="18" xfId="0" applyFont="1" applyBorder="1" applyAlignment="1">
      <alignment vertical="center"/>
    </xf>
    <xf numFmtId="0" fontId="22" fillId="0" borderId="25" xfId="0" applyFont="1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9" fontId="22" fillId="0" borderId="15" xfId="0" applyNumberFormat="1" applyFont="1" applyBorder="1" applyAlignment="1">
      <alignment horizontal="left" vertical="center"/>
    </xf>
    <xf numFmtId="9" fontId="22" fillId="0" borderId="42" xfId="0" applyNumberFormat="1" applyFont="1" applyBorder="1" applyAlignment="1">
      <alignment horizontal="left" vertical="center"/>
    </xf>
    <xf numFmtId="9" fontId="22" fillId="0" borderId="0" xfId="0" applyNumberFormat="1" applyFont="1" applyAlignment="1">
      <alignment horizontal="left" vertical="center"/>
    </xf>
    <xf numFmtId="170" fontId="7" fillId="2" borderId="0" xfId="0" applyNumberFormat="1" applyFont="1" applyFill="1" applyAlignment="1">
      <alignment horizontal="right" vertical="center"/>
    </xf>
    <xf numFmtId="0" fontId="9" fillId="3" borderId="19" xfId="0" applyFont="1" applyFill="1" applyBorder="1" applyAlignment="1">
      <alignment horizontal="left" vertical="center"/>
    </xf>
    <xf numFmtId="0" fontId="9" fillId="3" borderId="18" xfId="0" applyFont="1" applyFill="1" applyBorder="1" applyAlignment="1">
      <alignment horizontal="left" vertical="center"/>
    </xf>
    <xf numFmtId="0" fontId="9" fillId="3" borderId="18" xfId="0" applyFont="1" applyFill="1" applyBorder="1" applyAlignment="1">
      <alignment horizontal="right" vertical="center"/>
    </xf>
    <xf numFmtId="0" fontId="18" fillId="3" borderId="18" xfId="0" applyFont="1" applyFill="1" applyBorder="1" applyAlignment="1">
      <alignment vertical="center"/>
    </xf>
    <xf numFmtId="0" fontId="9" fillId="3" borderId="38" xfId="0" applyFont="1" applyFill="1" applyBorder="1" applyAlignment="1">
      <alignment horizontal="center" vertical="center"/>
    </xf>
    <xf numFmtId="170" fontId="9" fillId="3" borderId="38" xfId="0" applyNumberFormat="1" applyFont="1" applyFill="1" applyBorder="1" applyAlignment="1">
      <alignment horizontal="center" vertical="center"/>
    </xf>
    <xf numFmtId="170" fontId="9" fillId="3" borderId="34" xfId="0" applyNumberFormat="1" applyFont="1" applyFill="1" applyBorder="1" applyAlignment="1">
      <alignment horizontal="center" vertical="center"/>
    </xf>
    <xf numFmtId="0" fontId="7" fillId="0" borderId="55" xfId="0" applyFont="1" applyBorder="1" applyAlignment="1">
      <alignment vertical="center" wrapText="1"/>
    </xf>
    <xf numFmtId="0" fontId="8" fillId="0" borderId="55" xfId="0" applyFont="1" applyBorder="1" applyAlignment="1">
      <alignment horizontal="right" vertical="center"/>
    </xf>
    <xf numFmtId="170" fontId="8" fillId="2" borderId="22" xfId="0" applyNumberFormat="1" applyFont="1" applyFill="1" applyBorder="1" applyAlignment="1">
      <alignment horizontal="center" vertical="center"/>
    </xf>
    <xf numFmtId="170" fontId="8" fillId="0" borderId="22" xfId="0" applyNumberFormat="1" applyFont="1" applyBorder="1" applyAlignment="1">
      <alignment horizontal="center" vertical="center"/>
    </xf>
    <xf numFmtId="170" fontId="8" fillId="0" borderId="61" xfId="0" applyNumberFormat="1" applyFont="1" applyBorder="1" applyAlignment="1">
      <alignment horizontal="center" vertical="center"/>
    </xf>
    <xf numFmtId="9" fontId="7" fillId="0" borderId="0" xfId="12" applyFont="1" applyFill="1" applyBorder="1" applyAlignment="1" applyProtection="1">
      <alignment horizontal="center" vertical="center"/>
    </xf>
    <xf numFmtId="170" fontId="7" fillId="0" borderId="0" xfId="0" applyNumberFormat="1" applyFont="1" applyAlignment="1">
      <alignment horizontal="center" vertical="center"/>
    </xf>
    <xf numFmtId="0" fontId="7" fillId="0" borderId="23" xfId="0" applyFont="1" applyBorder="1" applyAlignment="1">
      <alignment vertical="center"/>
    </xf>
    <xf numFmtId="0" fontId="7" fillId="0" borderId="23" xfId="0" applyFont="1" applyBorder="1" applyAlignment="1">
      <alignment vertical="center" wrapText="1"/>
    </xf>
    <xf numFmtId="0" fontId="8" fillId="0" borderId="23" xfId="0" applyFont="1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168" fontId="7" fillId="2" borderId="0" xfId="0" applyNumberFormat="1" applyFont="1" applyFill="1" applyAlignment="1">
      <alignment horizontal="right" vertical="center"/>
    </xf>
    <xf numFmtId="0" fontId="7" fillId="0" borderId="26" xfId="0" applyFont="1" applyBorder="1" applyAlignment="1">
      <alignment vertical="center"/>
    </xf>
    <xf numFmtId="166" fontId="7" fillId="0" borderId="18" xfId="14" applyNumberFormat="1" applyFont="1" applyBorder="1" applyAlignment="1" applyProtection="1">
      <alignment vertical="center"/>
    </xf>
    <xf numFmtId="166" fontId="7" fillId="0" borderId="34" xfId="14" applyNumberFormat="1" applyFont="1" applyBorder="1" applyAlignment="1" applyProtection="1">
      <alignment vertical="center"/>
    </xf>
    <xf numFmtId="166" fontId="7" fillId="0" borderId="0" xfId="14" applyNumberFormat="1" applyFont="1" applyBorder="1" applyAlignment="1" applyProtection="1">
      <alignment vertical="center"/>
    </xf>
    <xf numFmtId="166" fontId="8" fillId="2" borderId="38" xfId="14" applyNumberFormat="1" applyFont="1" applyFill="1" applyBorder="1" applyAlignment="1" applyProtection="1">
      <alignment horizontal="center" vertical="center" wrapText="1"/>
    </xf>
    <xf numFmtId="166" fontId="8" fillId="2" borderId="29" xfId="14" applyNumberFormat="1" applyFont="1" applyFill="1" applyBorder="1" applyAlignment="1" applyProtection="1">
      <alignment horizontal="center" vertical="center" wrapText="1"/>
    </xf>
    <xf numFmtId="166" fontId="8" fillId="2" borderId="15" xfId="14" applyNumberFormat="1" applyFont="1" applyFill="1" applyBorder="1" applyAlignment="1" applyProtection="1">
      <alignment horizontal="center" vertical="center" wrapText="1"/>
    </xf>
    <xf numFmtId="166" fontId="8" fillId="2" borderId="57" xfId="14" applyNumberFormat="1" applyFont="1" applyFill="1" applyBorder="1" applyAlignment="1" applyProtection="1">
      <alignment horizontal="center" vertical="center" wrapText="1"/>
    </xf>
    <xf numFmtId="0" fontId="8" fillId="0" borderId="55" xfId="0" applyFont="1" applyBorder="1" applyAlignment="1">
      <alignment vertical="center" wrapText="1"/>
    </xf>
    <xf numFmtId="0" fontId="8" fillId="0" borderId="40" xfId="0" applyFont="1" applyBorder="1" applyAlignment="1">
      <alignment vertical="center" wrapText="1"/>
    </xf>
    <xf numFmtId="170" fontId="7" fillId="0" borderId="22" xfId="0" applyNumberFormat="1" applyFont="1" applyBorder="1" applyAlignment="1">
      <alignment horizontal="center" vertical="center"/>
    </xf>
    <xf numFmtId="170" fontId="7" fillId="0" borderId="42" xfId="0" applyNumberFormat="1" applyFont="1" applyBorder="1" applyAlignment="1">
      <alignment horizontal="center" vertical="center"/>
    </xf>
    <xf numFmtId="0" fontId="7" fillId="8" borderId="22" xfId="15" applyNumberFormat="1" applyFont="1" applyFill="1" applyBorder="1" applyAlignment="1" applyProtection="1">
      <alignment horizontal="center" vertical="center"/>
      <protection locked="0"/>
    </xf>
    <xf numFmtId="0" fontId="8" fillId="0" borderId="10" xfId="0" applyFont="1" applyBorder="1" applyAlignment="1">
      <alignment vertical="center" wrapText="1"/>
    </xf>
    <xf numFmtId="0" fontId="8" fillId="0" borderId="16" xfId="0" applyFont="1" applyBorder="1" applyAlignment="1">
      <alignment vertical="center" wrapText="1"/>
    </xf>
    <xf numFmtId="170" fontId="7" fillId="0" borderId="36" xfId="0" applyNumberFormat="1" applyFont="1" applyBorder="1" applyAlignment="1">
      <alignment horizontal="center" vertical="center"/>
    </xf>
    <xf numFmtId="170" fontId="7" fillId="10" borderId="36" xfId="0" applyNumberFormat="1" applyFont="1" applyFill="1" applyBorder="1" applyAlignment="1">
      <alignment horizontal="center" vertical="center"/>
    </xf>
    <xf numFmtId="170" fontId="7" fillId="0" borderId="59" xfId="0" applyNumberFormat="1" applyFont="1" applyBorder="1" applyAlignment="1">
      <alignment horizontal="center" vertical="center"/>
    </xf>
    <xf numFmtId="0" fontId="7" fillId="8" borderId="9" xfId="15" applyNumberFormat="1" applyFont="1" applyFill="1" applyBorder="1" applyAlignment="1" applyProtection="1">
      <alignment horizontal="center" vertical="center"/>
      <protection locked="0"/>
    </xf>
    <xf numFmtId="0" fontId="22" fillId="0" borderId="26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2" fillId="0" borderId="23" xfId="0" applyFont="1" applyBorder="1" applyAlignment="1">
      <alignment horizontal="left" vertical="center"/>
    </xf>
    <xf numFmtId="1" fontId="22" fillId="0" borderId="0" xfId="0" applyNumberFormat="1" applyFont="1" applyAlignment="1">
      <alignment horizontal="left" vertical="center"/>
    </xf>
    <xf numFmtId="1" fontId="22" fillId="0" borderId="34" xfId="0" applyNumberFormat="1" applyFont="1" applyBorder="1" applyAlignment="1">
      <alignment horizontal="left" vertical="center"/>
    </xf>
    <xf numFmtId="174" fontId="7" fillId="2" borderId="0" xfId="0" applyNumberFormat="1" applyFont="1" applyFill="1" applyAlignment="1" applyProtection="1">
      <alignment horizontal="left" vertical="center"/>
      <protection locked="0"/>
    </xf>
    <xf numFmtId="174" fontId="7" fillId="2" borderId="0" xfId="0" applyNumberFormat="1" applyFont="1" applyFill="1" applyAlignment="1">
      <alignment horizontal="left" vertical="center"/>
    </xf>
    <xf numFmtId="174" fontId="7" fillId="0" borderId="0" xfId="0" applyNumberFormat="1" applyFont="1" applyAlignment="1">
      <alignment horizontal="left" vertical="center"/>
    </xf>
    <xf numFmtId="0" fontId="7" fillId="0" borderId="18" xfId="0" applyFont="1" applyBorder="1" applyAlignment="1">
      <alignment vertical="center" wrapText="1"/>
    </xf>
    <xf numFmtId="0" fontId="8" fillId="0" borderId="18" xfId="0" applyFont="1" applyBorder="1" applyAlignment="1">
      <alignment horizontal="right" vertical="center"/>
    </xf>
    <xf numFmtId="170" fontId="7" fillId="10" borderId="12" xfId="0" applyNumberFormat="1" applyFont="1" applyFill="1" applyBorder="1" applyAlignment="1">
      <alignment horizontal="center" vertical="center"/>
    </xf>
    <xf numFmtId="170" fontId="7" fillId="0" borderId="34" xfId="0" applyNumberFormat="1" applyFont="1" applyBorder="1" applyAlignment="1">
      <alignment horizontal="center" vertical="center"/>
    </xf>
    <xf numFmtId="170" fontId="8" fillId="0" borderId="0" xfId="0" applyNumberFormat="1" applyFont="1" applyAlignment="1">
      <alignment horizontal="center" vertical="center"/>
    </xf>
    <xf numFmtId="0" fontId="17" fillId="7" borderId="10" xfId="10" applyFont="1" applyFill="1" applyBorder="1" applyAlignment="1">
      <alignment horizontal="center" vertical="center"/>
    </xf>
    <xf numFmtId="0" fontId="10" fillId="3" borderId="50" xfId="10" applyFont="1" applyFill="1" applyBorder="1" applyAlignment="1">
      <alignment horizontal="center" vertical="center" wrapText="1"/>
    </xf>
    <xf numFmtId="0" fontId="10" fillId="3" borderId="22" xfId="10" applyFont="1" applyFill="1" applyBorder="1" applyAlignment="1">
      <alignment horizontal="center" vertical="center" wrapText="1"/>
    </xf>
    <xf numFmtId="0" fontId="10" fillId="3" borderId="53" xfId="1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1" fontId="12" fillId="6" borderId="7" xfId="12" applyNumberFormat="1" applyFont="1" applyFill="1" applyBorder="1" applyAlignment="1" applyProtection="1">
      <alignment horizontal="center" vertical="center"/>
    </xf>
    <xf numFmtId="0" fontId="14" fillId="6" borderId="37" xfId="10" applyFont="1" applyFill="1" applyBorder="1" applyAlignment="1">
      <alignment horizontal="center" vertical="center"/>
    </xf>
    <xf numFmtId="170" fontId="7" fillId="2" borderId="69" xfId="0" applyNumberFormat="1" applyFont="1" applyFill="1" applyBorder="1" applyAlignment="1">
      <alignment horizontal="center" vertical="center"/>
    </xf>
    <xf numFmtId="170" fontId="7" fillId="2" borderId="26" xfId="0" applyNumberFormat="1" applyFont="1" applyFill="1" applyBorder="1" applyAlignment="1">
      <alignment horizontal="center" vertical="center"/>
    </xf>
    <xf numFmtId="170" fontId="25" fillId="2" borderId="5" xfId="0" applyNumberFormat="1" applyFont="1" applyFill="1" applyBorder="1" applyAlignment="1">
      <alignment horizontal="center" vertical="center"/>
    </xf>
    <xf numFmtId="0" fontId="14" fillId="7" borderId="64" xfId="10" applyFont="1" applyFill="1" applyBorder="1" applyAlignment="1">
      <alignment horizontal="left" vertical="center"/>
    </xf>
    <xf numFmtId="0" fontId="14" fillId="7" borderId="48" xfId="10" applyFont="1" applyFill="1" applyBorder="1" applyAlignment="1">
      <alignment horizontal="left" vertical="center"/>
    </xf>
    <xf numFmtId="0" fontId="14" fillId="7" borderId="52" xfId="10" applyFont="1" applyFill="1" applyBorder="1" applyAlignment="1">
      <alignment horizontal="left" vertical="center"/>
    </xf>
    <xf numFmtId="0" fontId="14" fillId="7" borderId="39" xfId="10" applyFont="1" applyFill="1" applyBorder="1" applyAlignment="1">
      <alignment horizontal="left" vertical="center"/>
    </xf>
    <xf numFmtId="170" fontId="8" fillId="5" borderId="38" xfId="0" applyNumberFormat="1" applyFont="1" applyFill="1" applyBorder="1" applyAlignment="1">
      <alignment vertical="center"/>
    </xf>
    <xf numFmtId="1" fontId="12" fillId="6" borderId="13" xfId="12" applyNumberFormat="1" applyFont="1" applyFill="1" applyBorder="1" applyAlignment="1" applyProtection="1">
      <alignment horizontal="center" vertical="center"/>
    </xf>
    <xf numFmtId="0" fontId="14" fillId="0" borderId="71" xfId="10" applyFont="1" applyBorder="1" applyAlignment="1" applyProtection="1">
      <alignment horizontal="center" vertical="center"/>
      <protection locked="0"/>
    </xf>
    <xf numFmtId="0" fontId="17" fillId="0" borderId="71" xfId="10" applyFont="1" applyBorder="1" applyAlignment="1" applyProtection="1">
      <alignment horizontal="center" vertical="center"/>
      <protection locked="0"/>
    </xf>
    <xf numFmtId="0" fontId="14" fillId="0" borderId="63" xfId="10" applyFont="1" applyBorder="1" applyAlignment="1" applyProtection="1">
      <alignment horizontal="center" vertical="center"/>
      <protection locked="0"/>
    </xf>
    <xf numFmtId="0" fontId="12" fillId="0" borderId="13" xfId="9" applyNumberFormat="1" applyFont="1" applyBorder="1" applyAlignment="1" applyProtection="1">
      <alignment horizontal="center" vertical="center"/>
      <protection locked="0"/>
    </xf>
    <xf numFmtId="0" fontId="14" fillId="0" borderId="4" xfId="10" applyFont="1" applyBorder="1" applyAlignment="1" applyProtection="1">
      <alignment horizontal="center" vertical="center"/>
      <protection locked="0"/>
    </xf>
    <xf numFmtId="0" fontId="14" fillId="6" borderId="4" xfId="10" applyFont="1" applyFill="1" applyBorder="1" applyAlignment="1">
      <alignment horizontal="center" vertical="center"/>
    </xf>
    <xf numFmtId="0" fontId="17" fillId="6" borderId="31" xfId="10" applyFont="1" applyFill="1" applyBorder="1" applyAlignment="1">
      <alignment horizontal="center" vertical="center"/>
    </xf>
    <xf numFmtId="0" fontId="14" fillId="6" borderId="31" xfId="10" applyFont="1" applyFill="1" applyBorder="1" applyAlignment="1">
      <alignment horizontal="center" vertical="center"/>
    </xf>
    <xf numFmtId="0" fontId="16" fillId="2" borderId="1" xfId="10" applyFont="1" applyFill="1" applyBorder="1" applyAlignment="1" applyProtection="1">
      <alignment vertical="center"/>
      <protection locked="0"/>
    </xf>
    <xf numFmtId="0" fontId="17" fillId="0" borderId="4" xfId="10" applyFont="1" applyBorder="1" applyAlignment="1" applyProtection="1">
      <alignment horizontal="center" vertical="center"/>
      <protection locked="0"/>
    </xf>
    <xf numFmtId="0" fontId="14" fillId="2" borderId="28" xfId="10" applyFont="1" applyFill="1" applyBorder="1" applyAlignment="1" applyProtection="1">
      <alignment horizontal="center" vertical="center" wrapText="1"/>
      <protection locked="0"/>
    </xf>
    <xf numFmtId="173" fontId="8" fillId="7" borderId="51" xfId="0" applyNumberFormat="1" applyFont="1" applyFill="1" applyBorder="1" applyAlignment="1">
      <alignment vertical="center"/>
    </xf>
    <xf numFmtId="0" fontId="17" fillId="7" borderId="8" xfId="10" applyFont="1" applyFill="1" applyBorder="1" applyAlignment="1">
      <alignment horizontal="center" vertical="center"/>
    </xf>
    <xf numFmtId="0" fontId="17" fillId="7" borderId="9" xfId="10" applyFont="1" applyFill="1" applyBorder="1" applyAlignment="1">
      <alignment horizontal="center" vertical="center"/>
    </xf>
    <xf numFmtId="0" fontId="17" fillId="7" borderId="65" xfId="10" applyFont="1" applyFill="1" applyBorder="1" applyAlignment="1">
      <alignment horizontal="center" vertical="center"/>
    </xf>
    <xf numFmtId="1" fontId="13" fillId="2" borderId="65" xfId="10" applyNumberFormat="1" applyFont="1" applyFill="1" applyBorder="1" applyAlignment="1">
      <alignment horizontal="center" vertical="center" wrapText="1"/>
    </xf>
    <xf numFmtId="1" fontId="13" fillId="2" borderId="8" xfId="10" applyNumberFormat="1" applyFont="1" applyFill="1" applyBorder="1" applyAlignment="1">
      <alignment horizontal="center" vertical="center" wrapText="1"/>
    </xf>
    <xf numFmtId="164" fontId="13" fillId="2" borderId="4" xfId="10" applyNumberFormat="1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/>
    </xf>
    <xf numFmtId="9" fontId="12" fillId="2" borderId="0" xfId="9" applyFont="1" applyFill="1" applyAlignment="1" applyProtection="1">
      <alignment vertical="center"/>
    </xf>
    <xf numFmtId="0" fontId="14" fillId="0" borderId="29" xfId="10" applyFont="1" applyBorder="1" applyAlignment="1" applyProtection="1">
      <alignment horizontal="center" vertical="center"/>
      <protection locked="0"/>
    </xf>
    <xf numFmtId="1" fontId="12" fillId="2" borderId="4" xfId="0" applyNumberFormat="1" applyFont="1" applyFill="1" applyBorder="1" applyAlignment="1">
      <alignment horizontal="center" vertical="center"/>
    </xf>
    <xf numFmtId="0" fontId="16" fillId="2" borderId="30" xfId="10" applyFont="1" applyFill="1" applyBorder="1" applyAlignment="1" applyProtection="1">
      <alignment vertical="center"/>
      <protection locked="0"/>
    </xf>
    <xf numFmtId="0" fontId="16" fillId="2" borderId="71" xfId="10" applyFont="1" applyFill="1" applyBorder="1" applyAlignment="1" applyProtection="1">
      <alignment vertical="center"/>
      <protection locked="0"/>
    </xf>
    <xf numFmtId="0" fontId="16" fillId="7" borderId="9" xfId="10" applyFont="1" applyFill="1" applyBorder="1" applyAlignment="1">
      <alignment vertical="center"/>
    </xf>
    <xf numFmtId="0" fontId="16" fillId="2" borderId="72" xfId="10" applyFont="1" applyFill="1" applyBorder="1" applyAlignment="1" applyProtection="1">
      <alignment vertical="center"/>
      <protection locked="0"/>
    </xf>
    <xf numFmtId="0" fontId="16" fillId="2" borderId="2" xfId="10" applyFont="1" applyFill="1" applyBorder="1" applyAlignment="1" applyProtection="1">
      <alignment vertical="center"/>
      <protection locked="0"/>
    </xf>
    <xf numFmtId="0" fontId="16" fillId="2" borderId="43" xfId="10" applyFont="1" applyFill="1" applyBorder="1" applyAlignment="1" applyProtection="1">
      <alignment vertical="center"/>
      <protection locked="0"/>
    </xf>
    <xf numFmtId="164" fontId="12" fillId="2" borderId="0" xfId="0" applyNumberFormat="1" applyFont="1" applyFill="1" applyAlignment="1">
      <alignment vertical="center"/>
    </xf>
    <xf numFmtId="0" fontId="27" fillId="10" borderId="13" xfId="0" applyFont="1" applyFill="1" applyBorder="1" applyAlignment="1" applyProtection="1">
      <alignment horizontal="left" vertical="center"/>
      <protection locked="0"/>
    </xf>
    <xf numFmtId="0" fontId="27" fillId="10" borderId="5" xfId="0" applyFont="1" applyFill="1" applyBorder="1" applyAlignment="1" applyProtection="1">
      <alignment horizontal="left" vertical="center" wrapText="1"/>
      <protection locked="0"/>
    </xf>
    <xf numFmtId="0" fontId="1" fillId="2" borderId="7" xfId="10" applyFont="1" applyFill="1" applyBorder="1" applyAlignment="1" applyProtection="1">
      <alignment horizontal="center" vertical="center" wrapText="1"/>
      <protection locked="0"/>
    </xf>
    <xf numFmtId="0" fontId="28" fillId="2" borderId="4" xfId="10" applyFont="1" applyFill="1" applyBorder="1" applyAlignment="1" applyProtection="1">
      <alignment vertical="center"/>
      <protection locked="0"/>
    </xf>
    <xf numFmtId="0" fontId="27" fillId="10" borderId="7" xfId="0" applyFont="1" applyFill="1" applyBorder="1" applyProtection="1">
      <protection locked="0"/>
    </xf>
    <xf numFmtId="0" fontId="28" fillId="10" borderId="4" xfId="10" applyFont="1" applyFill="1" applyBorder="1" applyAlignment="1" applyProtection="1">
      <alignment vertical="center"/>
      <protection locked="0"/>
    </xf>
    <xf numFmtId="0" fontId="27" fillId="10" borderId="49" xfId="0" applyFont="1" applyFill="1" applyBorder="1" applyAlignment="1" applyProtection="1">
      <alignment horizontal="left" vertical="center"/>
      <protection locked="0"/>
    </xf>
    <xf numFmtId="0" fontId="29" fillId="2" borderId="7" xfId="0" applyFont="1" applyFill="1" applyBorder="1" applyAlignment="1" applyProtection="1">
      <alignment vertical="center" wrapText="1"/>
      <protection locked="0"/>
    </xf>
    <xf numFmtId="0" fontId="29" fillId="2" borderId="0" xfId="0" applyFont="1" applyFill="1" applyAlignment="1" applyProtection="1">
      <alignment vertical="center"/>
      <protection locked="0"/>
    </xf>
    <xf numFmtId="0" fontId="27" fillId="10" borderId="7" xfId="10" applyFont="1" applyFill="1" applyBorder="1" applyAlignment="1" applyProtection="1">
      <alignment horizontal="left" vertical="center"/>
      <protection locked="0"/>
    </xf>
    <xf numFmtId="0" fontId="30" fillId="10" borderId="4" xfId="10" applyFont="1" applyFill="1" applyBorder="1" applyAlignment="1" applyProtection="1">
      <alignment vertical="center"/>
      <protection locked="0"/>
    </xf>
    <xf numFmtId="0" fontId="28" fillId="2" borderId="21" xfId="10" applyFont="1" applyFill="1" applyBorder="1" applyAlignment="1" applyProtection="1">
      <alignment vertical="center"/>
      <protection locked="0"/>
    </xf>
    <xf numFmtId="0" fontId="28" fillId="10" borderId="21" xfId="10" applyFont="1" applyFill="1" applyBorder="1" applyAlignment="1" applyProtection="1">
      <alignment vertical="center"/>
      <protection locked="0"/>
    </xf>
    <xf numFmtId="0" fontId="27" fillId="10" borderId="1" xfId="0" applyFont="1" applyFill="1" applyBorder="1" applyAlignment="1" applyProtection="1">
      <alignment horizontal="left" vertical="center" wrapText="1"/>
      <protection locked="0"/>
    </xf>
    <xf numFmtId="0" fontId="28" fillId="0" borderId="4" xfId="10" applyFont="1" applyBorder="1" applyAlignment="1" applyProtection="1">
      <alignment vertical="center"/>
      <protection locked="0"/>
    </xf>
    <xf numFmtId="0" fontId="16" fillId="0" borderId="21" xfId="10" applyFont="1" applyBorder="1" applyAlignment="1" applyProtection="1">
      <alignment vertical="center"/>
      <protection locked="0"/>
    </xf>
    <xf numFmtId="0" fontId="16" fillId="0" borderId="14" xfId="10" applyFont="1" applyBorder="1" applyAlignment="1" applyProtection="1">
      <alignment vertical="center"/>
      <protection locked="0"/>
    </xf>
    <xf numFmtId="1" fontId="12" fillId="0" borderId="4" xfId="9" applyNumberFormat="1" applyFont="1" applyFill="1" applyBorder="1" applyAlignment="1" applyProtection="1">
      <alignment horizontal="center" vertical="center"/>
      <protection locked="0"/>
    </xf>
    <xf numFmtId="0" fontId="12" fillId="0" borderId="7" xfId="9" applyNumberFormat="1" applyFont="1" applyFill="1" applyBorder="1" applyAlignment="1" applyProtection="1">
      <alignment horizontal="center" vertical="center"/>
      <protection locked="0"/>
    </xf>
    <xf numFmtId="0" fontId="27" fillId="0" borderId="7" xfId="0" applyFont="1" applyBorder="1" applyProtection="1">
      <protection locked="0"/>
    </xf>
    <xf numFmtId="0" fontId="16" fillId="0" borderId="4" xfId="10" applyFont="1" applyBorder="1" applyAlignment="1" applyProtection="1">
      <alignment vertical="center"/>
      <protection locked="0"/>
    </xf>
    <xf numFmtId="0" fontId="29" fillId="2" borderId="4" xfId="0" applyFont="1" applyFill="1" applyBorder="1" applyAlignment="1" applyProtection="1">
      <alignment vertical="center"/>
      <protection locked="0"/>
    </xf>
    <xf numFmtId="0" fontId="12" fillId="2" borderId="0" xfId="0" applyFont="1" applyFill="1" applyAlignment="1" applyProtection="1">
      <alignment horizontal="center" vertical="center" wrapText="1"/>
      <protection locked="0"/>
    </xf>
    <xf numFmtId="0" fontId="31" fillId="2" borderId="7" xfId="10" applyFont="1" applyFill="1" applyBorder="1" applyAlignment="1" applyProtection="1">
      <alignment horizontal="center" vertical="center" wrapText="1"/>
      <protection locked="0"/>
    </xf>
    <xf numFmtId="0" fontId="31" fillId="2" borderId="4" xfId="10" applyFont="1" applyFill="1" applyBorder="1" applyAlignment="1" applyProtection="1">
      <alignment vertical="center"/>
      <protection locked="0"/>
    </xf>
    <xf numFmtId="0" fontId="32" fillId="2" borderId="14" xfId="10" applyFont="1" applyFill="1" applyBorder="1" applyAlignment="1" applyProtection="1">
      <alignment vertical="center"/>
      <protection locked="0"/>
    </xf>
    <xf numFmtId="0" fontId="32" fillId="2" borderId="21" xfId="10" applyFont="1" applyFill="1" applyBorder="1" applyAlignment="1" applyProtection="1">
      <alignment vertical="center"/>
      <protection locked="0"/>
    </xf>
    <xf numFmtId="1" fontId="32" fillId="0" borderId="4" xfId="9" applyNumberFormat="1" applyFont="1" applyBorder="1" applyAlignment="1" applyProtection="1">
      <alignment horizontal="center" vertical="center"/>
      <protection locked="0"/>
    </xf>
    <xf numFmtId="0" fontId="32" fillId="0" borderId="4" xfId="10" applyFont="1" applyBorder="1" applyAlignment="1" applyProtection="1">
      <alignment horizontal="center" vertical="center"/>
      <protection locked="0"/>
    </xf>
    <xf numFmtId="0" fontId="33" fillId="0" borderId="21" xfId="10" applyFont="1" applyBorder="1" applyAlignment="1" applyProtection="1">
      <alignment horizontal="center" vertical="center"/>
      <protection locked="0"/>
    </xf>
    <xf numFmtId="0" fontId="32" fillId="0" borderId="2" xfId="10" applyFont="1" applyBorder="1" applyAlignment="1" applyProtection="1">
      <alignment horizontal="center" vertical="center"/>
      <protection locked="0"/>
    </xf>
    <xf numFmtId="0" fontId="32" fillId="0" borderId="3" xfId="10" applyFont="1" applyBorder="1" applyAlignment="1" applyProtection="1">
      <alignment horizontal="center" vertical="center"/>
      <protection locked="0"/>
    </xf>
    <xf numFmtId="0" fontId="32" fillId="0" borderId="7" xfId="9" applyNumberFormat="1" applyFont="1" applyBorder="1" applyAlignment="1" applyProtection="1">
      <alignment horizontal="center" vertical="center"/>
      <protection locked="0"/>
    </xf>
    <xf numFmtId="1" fontId="32" fillId="6" borderId="7" xfId="12" applyNumberFormat="1" applyFont="1" applyFill="1" applyBorder="1" applyAlignment="1" applyProtection="1">
      <alignment horizontal="center" vertical="center"/>
    </xf>
    <xf numFmtId="0" fontId="32" fillId="6" borderId="45" xfId="10" applyFont="1" applyFill="1" applyBorder="1" applyAlignment="1">
      <alignment horizontal="center" vertical="center"/>
    </xf>
    <xf numFmtId="0" fontId="32" fillId="0" borderId="21" xfId="10" applyFont="1" applyBorder="1" applyAlignment="1" applyProtection="1">
      <alignment horizontal="center" vertical="center"/>
      <protection locked="0"/>
    </xf>
    <xf numFmtId="0" fontId="32" fillId="6" borderId="5" xfId="10" applyFont="1" applyFill="1" applyBorder="1" applyAlignment="1">
      <alignment horizontal="center" vertical="center"/>
    </xf>
    <xf numFmtId="0" fontId="33" fillId="6" borderId="37" xfId="10" applyFont="1" applyFill="1" applyBorder="1" applyAlignment="1">
      <alignment horizontal="center" vertical="center"/>
    </xf>
    <xf numFmtId="0" fontId="32" fillId="0" borderId="45" xfId="10" applyFont="1" applyBorder="1" applyAlignment="1" applyProtection="1">
      <alignment horizontal="center" vertical="center"/>
      <protection locked="0"/>
    </xf>
    <xf numFmtId="0" fontId="32" fillId="6" borderId="37" xfId="10" applyFont="1" applyFill="1" applyBorder="1" applyAlignment="1">
      <alignment horizontal="center" vertical="center"/>
    </xf>
    <xf numFmtId="164" fontId="32" fillId="4" borderId="44" xfId="12" applyNumberFormat="1" applyFont="1" applyFill="1" applyBorder="1" applyAlignment="1" applyProtection="1">
      <alignment horizontal="center" vertical="center"/>
    </xf>
    <xf numFmtId="0" fontId="32" fillId="4" borderId="31" xfId="10" applyFont="1" applyFill="1" applyBorder="1" applyAlignment="1">
      <alignment horizontal="center" vertical="center"/>
    </xf>
    <xf numFmtId="0" fontId="32" fillId="2" borderId="0" xfId="0" applyFont="1" applyFill="1" applyAlignment="1">
      <alignment vertical="center"/>
    </xf>
    <xf numFmtId="0" fontId="31" fillId="2" borderId="21" xfId="10" applyFont="1" applyFill="1" applyBorder="1" applyAlignment="1" applyProtection="1">
      <alignment vertical="center"/>
      <protection locked="0"/>
    </xf>
    <xf numFmtId="0" fontId="32" fillId="2" borderId="7" xfId="10" applyFont="1" applyFill="1" applyBorder="1" applyAlignment="1" applyProtection="1">
      <alignment horizontal="center" vertical="center" wrapText="1"/>
      <protection locked="0"/>
    </xf>
    <xf numFmtId="0" fontId="32" fillId="0" borderId="4" xfId="10" applyFont="1" applyBorder="1" applyAlignment="1" applyProtection="1">
      <alignment vertical="center"/>
      <protection locked="0"/>
    </xf>
    <xf numFmtId="0" fontId="32" fillId="2" borderId="71" xfId="10" applyFont="1" applyFill="1" applyBorder="1" applyAlignment="1" applyProtection="1">
      <alignment vertical="center"/>
      <protection locked="0"/>
    </xf>
    <xf numFmtId="0" fontId="32" fillId="2" borderId="0" xfId="10" applyFont="1" applyFill="1" applyAlignment="1" applyProtection="1">
      <alignment vertical="center"/>
      <protection locked="0"/>
    </xf>
    <xf numFmtId="1" fontId="32" fillId="0" borderId="5" xfId="9" applyNumberFormat="1" applyFont="1" applyBorder="1" applyAlignment="1" applyProtection="1">
      <alignment horizontal="center" vertical="center"/>
      <protection locked="0"/>
    </xf>
    <xf numFmtId="0" fontId="32" fillId="2" borderId="5" xfId="10" applyFont="1" applyFill="1" applyBorder="1" applyAlignment="1" applyProtection="1">
      <alignment horizontal="center" vertical="center"/>
      <protection locked="0"/>
    </xf>
    <xf numFmtId="0" fontId="33" fillId="0" borderId="71" xfId="10" applyFont="1" applyBorder="1" applyAlignment="1" applyProtection="1">
      <alignment horizontal="center" vertical="center"/>
      <protection locked="0"/>
    </xf>
    <xf numFmtId="0" fontId="32" fillId="0" borderId="13" xfId="9" applyNumberFormat="1" applyFont="1" applyBorder="1" applyAlignment="1" applyProtection="1">
      <alignment horizontal="center" vertical="center"/>
      <protection locked="0"/>
    </xf>
    <xf numFmtId="0" fontId="1" fillId="2" borderId="5" xfId="10" applyFont="1" applyFill="1" applyBorder="1" applyAlignment="1">
      <alignment vertical="center"/>
    </xf>
    <xf numFmtId="0" fontId="1" fillId="2" borderId="4" xfId="10" applyFont="1" applyFill="1" applyBorder="1" applyAlignment="1">
      <alignment vertical="center"/>
    </xf>
    <xf numFmtId="164" fontId="12" fillId="7" borderId="73" xfId="12" applyNumberFormat="1" applyFont="1" applyFill="1" applyBorder="1" applyAlignment="1" applyProtection="1">
      <alignment horizontal="center" vertical="center"/>
    </xf>
    <xf numFmtId="1" fontId="12" fillId="7" borderId="74" xfId="12" applyNumberFormat="1" applyFont="1" applyFill="1" applyBorder="1" applyAlignment="1" applyProtection="1">
      <alignment horizontal="center" vertical="center"/>
    </xf>
    <xf numFmtId="164" fontId="12" fillId="7" borderId="27" xfId="12" applyNumberFormat="1" applyFont="1" applyFill="1" applyBorder="1" applyAlignment="1" applyProtection="1">
      <alignment horizontal="center" vertical="center"/>
    </xf>
    <xf numFmtId="1" fontId="12" fillId="7" borderId="39" xfId="12" applyNumberFormat="1" applyFont="1" applyFill="1" applyBorder="1" applyAlignment="1" applyProtection="1">
      <alignment horizontal="center" vertical="center"/>
    </xf>
    <xf numFmtId="164" fontId="12" fillId="4" borderId="50" xfId="12" applyNumberFormat="1" applyFont="1" applyFill="1" applyBorder="1" applyAlignment="1" applyProtection="1">
      <alignment horizontal="center" vertical="center"/>
    </xf>
    <xf numFmtId="0" fontId="14" fillId="4" borderId="53" xfId="10" applyFont="1" applyFill="1" applyBorder="1" applyAlignment="1">
      <alignment horizontal="center" vertical="center"/>
    </xf>
    <xf numFmtId="164" fontId="12" fillId="4" borderId="7" xfId="12" applyNumberFormat="1" applyFont="1" applyFill="1" applyBorder="1" applyAlignment="1" applyProtection="1">
      <alignment horizontal="center" vertical="center"/>
    </xf>
    <xf numFmtId="0" fontId="14" fillId="4" borderId="33" xfId="10" applyFont="1" applyFill="1" applyBorder="1" applyAlignment="1">
      <alignment horizontal="center" vertical="center"/>
    </xf>
    <xf numFmtId="164" fontId="12" fillId="4" borderId="8" xfId="12" applyNumberFormat="1" applyFont="1" applyFill="1" applyBorder="1" applyAlignment="1" applyProtection="1">
      <alignment horizontal="center" vertical="center"/>
    </xf>
    <xf numFmtId="0" fontId="14" fillId="4" borderId="51" xfId="10" applyFont="1" applyFill="1" applyBorder="1" applyAlignment="1">
      <alignment horizontal="center" vertical="center"/>
    </xf>
    <xf numFmtId="0" fontId="12" fillId="0" borderId="1" xfId="9" applyNumberFormat="1" applyFont="1" applyBorder="1" applyAlignment="1" applyProtection="1">
      <alignment horizontal="left" vertical="center"/>
      <protection locked="0"/>
    </xf>
    <xf numFmtId="0" fontId="12" fillId="0" borderId="31" xfId="9" applyNumberFormat="1" applyFont="1" applyBorder="1" applyAlignment="1" applyProtection="1">
      <alignment horizontal="left" vertical="center"/>
      <protection locked="0"/>
    </xf>
    <xf numFmtId="0" fontId="12" fillId="0" borderId="49" xfId="9" applyNumberFormat="1" applyFont="1" applyBorder="1" applyAlignment="1" applyProtection="1">
      <alignment horizontal="left" vertical="center"/>
      <protection locked="0"/>
    </xf>
    <xf numFmtId="0" fontId="12" fillId="0" borderId="54" xfId="9" applyNumberFormat="1" applyFont="1" applyBorder="1" applyAlignment="1" applyProtection="1">
      <alignment horizontal="left" vertical="center"/>
      <protection locked="0"/>
    </xf>
    <xf numFmtId="0" fontId="12" fillId="0" borderId="55" xfId="9" applyNumberFormat="1" applyFont="1" applyBorder="1" applyAlignment="1" applyProtection="1">
      <alignment horizontal="left" vertical="center"/>
      <protection locked="0"/>
    </xf>
    <xf numFmtId="0" fontId="12" fillId="0" borderId="70" xfId="9" applyNumberFormat="1" applyFont="1" applyBorder="1" applyAlignment="1" applyProtection="1">
      <alignment horizontal="left" vertical="center"/>
      <protection locked="0"/>
    </xf>
    <xf numFmtId="0" fontId="12" fillId="0" borderId="24" xfId="9" applyNumberFormat="1" applyFont="1" applyBorder="1" applyAlignment="1" applyProtection="1">
      <alignment horizontal="left" vertical="center"/>
      <protection locked="0"/>
    </xf>
    <xf numFmtId="0" fontId="32" fillId="0" borderId="49" xfId="9" applyNumberFormat="1" applyFont="1" applyBorder="1" applyAlignment="1" applyProtection="1">
      <alignment horizontal="left" vertical="center"/>
      <protection locked="0"/>
    </xf>
    <xf numFmtId="0" fontId="32" fillId="0" borderId="1" xfId="9" applyNumberFormat="1" applyFont="1" applyBorder="1" applyAlignment="1" applyProtection="1">
      <alignment horizontal="left" vertical="center"/>
      <protection locked="0"/>
    </xf>
    <xf numFmtId="0" fontId="32" fillId="0" borderId="31" xfId="9" applyNumberFormat="1" applyFont="1" applyBorder="1" applyAlignment="1" applyProtection="1">
      <alignment horizontal="left" vertical="center"/>
      <protection locked="0"/>
    </xf>
    <xf numFmtId="0" fontId="15" fillId="3" borderId="25" xfId="10" applyFont="1" applyFill="1" applyBorder="1" applyAlignment="1">
      <alignment horizontal="center" vertical="center" wrapText="1"/>
    </xf>
    <xf numFmtId="0" fontId="15" fillId="3" borderId="15" xfId="10" applyFont="1" applyFill="1" applyBorder="1" applyAlignment="1">
      <alignment horizontal="center" vertical="center" wrapText="1"/>
    </xf>
    <xf numFmtId="0" fontId="15" fillId="3" borderId="42" xfId="10" applyFont="1" applyFill="1" applyBorder="1" applyAlignment="1">
      <alignment horizontal="center" vertical="center" wrapText="1"/>
    </xf>
    <xf numFmtId="0" fontId="15" fillId="3" borderId="52" xfId="10" applyFont="1" applyFill="1" applyBorder="1" applyAlignment="1">
      <alignment horizontal="center" vertical="center" wrapText="1"/>
    </xf>
    <xf numFmtId="0" fontId="15" fillId="3" borderId="23" xfId="10" applyFont="1" applyFill="1" applyBorder="1" applyAlignment="1">
      <alignment horizontal="center" vertical="center" wrapText="1"/>
    </xf>
    <xf numFmtId="0" fontId="15" fillId="3" borderId="39" xfId="10" applyFont="1" applyFill="1" applyBorder="1" applyAlignment="1">
      <alignment horizontal="center" vertical="center" wrapText="1"/>
    </xf>
    <xf numFmtId="0" fontId="12" fillId="0" borderId="61" xfId="9" applyNumberFormat="1" applyFont="1" applyBorder="1" applyAlignment="1" applyProtection="1">
      <alignment horizontal="left" vertical="center"/>
      <protection locked="0"/>
    </xf>
    <xf numFmtId="0" fontId="15" fillId="3" borderId="6" xfId="10" applyFont="1" applyFill="1" applyBorder="1" applyAlignment="1">
      <alignment horizontal="center" vertical="center" wrapText="1"/>
    </xf>
    <xf numFmtId="0" fontId="15" fillId="3" borderId="20" xfId="10" applyFont="1" applyFill="1" applyBorder="1" applyAlignment="1">
      <alignment horizontal="center" vertical="center" wrapText="1"/>
    </xf>
    <xf numFmtId="0" fontId="12" fillId="0" borderId="37" xfId="9" applyNumberFormat="1" applyFont="1" applyBorder="1" applyAlignment="1" applyProtection="1">
      <alignment horizontal="left" vertical="center"/>
      <protection locked="0"/>
    </xf>
    <xf numFmtId="0" fontId="15" fillId="3" borderId="50" xfId="10" applyFont="1" applyFill="1" applyBorder="1" applyAlignment="1">
      <alignment horizontal="center" vertical="center" wrapText="1"/>
    </xf>
    <xf numFmtId="0" fontId="15" fillId="3" borderId="8" xfId="10" applyFont="1" applyFill="1" applyBorder="1" applyAlignment="1">
      <alignment horizontal="center" vertical="center" wrapText="1"/>
    </xf>
    <xf numFmtId="0" fontId="15" fillId="3" borderId="30" xfId="10" applyFont="1" applyFill="1" applyBorder="1" applyAlignment="1">
      <alignment horizontal="center" vertical="center"/>
    </xf>
    <xf numFmtId="0" fontId="15" fillId="3" borderId="36" xfId="10" applyFont="1" applyFill="1" applyBorder="1" applyAlignment="1">
      <alignment horizontal="center" vertical="center"/>
    </xf>
    <xf numFmtId="0" fontId="15" fillId="3" borderId="29" xfId="10" applyFont="1" applyFill="1" applyBorder="1" applyAlignment="1">
      <alignment horizontal="center" vertical="center" wrapText="1"/>
    </xf>
    <xf numFmtId="0" fontId="15" fillId="3" borderId="41" xfId="10" applyFont="1" applyFill="1" applyBorder="1" applyAlignment="1">
      <alignment horizontal="center" vertical="center" wrapText="1"/>
    </xf>
    <xf numFmtId="0" fontId="15" fillId="3" borderId="30" xfId="10" applyFont="1" applyFill="1" applyBorder="1" applyAlignment="1">
      <alignment horizontal="center" vertical="center" wrapText="1"/>
    </xf>
    <xf numFmtId="0" fontId="15" fillId="3" borderId="36" xfId="10" applyFont="1" applyFill="1" applyBorder="1" applyAlignment="1">
      <alignment horizontal="center" vertical="center" wrapText="1"/>
    </xf>
    <xf numFmtId="0" fontId="15" fillId="3" borderId="57" xfId="10" applyFont="1" applyFill="1" applyBorder="1" applyAlignment="1">
      <alignment horizontal="center" vertical="center" wrapText="1"/>
    </xf>
    <xf numFmtId="0" fontId="15" fillId="3" borderId="56" xfId="10" applyFont="1" applyFill="1" applyBorder="1" applyAlignment="1">
      <alignment horizontal="center" vertical="center" wrapText="1"/>
    </xf>
    <xf numFmtId="0" fontId="12" fillId="0" borderId="3" xfId="9" applyNumberFormat="1" applyFont="1" applyBorder="1" applyAlignment="1" applyProtection="1">
      <alignment horizontal="left" vertical="center"/>
      <protection locked="0"/>
    </xf>
    <xf numFmtId="0" fontId="15" fillId="3" borderId="46" xfId="10" applyFont="1" applyFill="1" applyBorder="1" applyAlignment="1" applyProtection="1">
      <alignment horizontal="center" vertical="center" wrapText="1"/>
      <protection locked="0"/>
    </xf>
    <xf numFmtId="0" fontId="15" fillId="3" borderId="58" xfId="10" applyFont="1" applyFill="1" applyBorder="1" applyAlignment="1" applyProtection="1">
      <alignment horizontal="center" vertical="center" wrapText="1"/>
      <protection locked="0"/>
    </xf>
    <xf numFmtId="0" fontId="15" fillId="3" borderId="27" xfId="10" applyFont="1" applyFill="1" applyBorder="1" applyAlignment="1" applyProtection="1">
      <alignment horizontal="center" vertical="center" wrapText="1"/>
      <protection locked="0"/>
    </xf>
    <xf numFmtId="0" fontId="15" fillId="3" borderId="46" xfId="10" applyFont="1" applyFill="1" applyBorder="1" applyAlignment="1">
      <alignment horizontal="center" vertical="center" wrapText="1"/>
    </xf>
    <xf numFmtId="0" fontId="15" fillId="3" borderId="27" xfId="10" applyFont="1" applyFill="1" applyBorder="1" applyAlignment="1">
      <alignment horizontal="center" vertical="center" wrapText="1"/>
    </xf>
    <xf numFmtId="0" fontId="27" fillId="10" borderId="13" xfId="0" applyFont="1" applyFill="1" applyBorder="1" applyAlignment="1" applyProtection="1">
      <alignment horizontal="left" vertical="center" wrapText="1"/>
      <protection locked="0"/>
    </xf>
    <xf numFmtId="0" fontId="27" fillId="10" borderId="5" xfId="0" applyFont="1" applyFill="1" applyBorder="1" applyAlignment="1" applyProtection="1">
      <alignment horizontal="left" vertical="center" wrapText="1"/>
      <protection locked="0"/>
    </xf>
    <xf numFmtId="0" fontId="27" fillId="10" borderId="49" xfId="0" applyFont="1" applyFill="1" applyBorder="1" applyAlignment="1" applyProtection="1">
      <alignment horizontal="left" vertical="center" wrapText="1"/>
      <protection locked="0"/>
    </xf>
    <xf numFmtId="0" fontId="27" fillId="10" borderId="1" xfId="0" applyFont="1" applyFill="1" applyBorder="1" applyAlignment="1" applyProtection="1">
      <alignment horizontal="left" vertical="center" wrapText="1"/>
      <protection locked="0"/>
    </xf>
    <xf numFmtId="0" fontId="32" fillId="0" borderId="1" xfId="9" applyNumberFormat="1" applyFont="1" applyFill="1" applyBorder="1" applyAlignment="1" applyProtection="1">
      <alignment horizontal="left" vertical="center"/>
      <protection locked="0"/>
    </xf>
    <xf numFmtId="0" fontId="32" fillId="0" borderId="31" xfId="9" applyNumberFormat="1" applyFont="1" applyFill="1" applyBorder="1" applyAlignment="1" applyProtection="1">
      <alignment horizontal="left" vertical="center"/>
      <protection locked="0"/>
    </xf>
    <xf numFmtId="0" fontId="7" fillId="0" borderId="3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8" borderId="3" xfId="0" applyFont="1" applyFill="1" applyBorder="1" applyAlignment="1" applyProtection="1">
      <alignment horizontal="center" vertical="center"/>
      <protection locked="0"/>
    </xf>
    <xf numFmtId="0" fontId="7" fillId="8" borderId="1" xfId="0" applyFont="1" applyFill="1" applyBorder="1" applyAlignment="1" applyProtection="1">
      <alignment horizontal="center" vertical="center"/>
      <protection locked="0"/>
    </xf>
    <xf numFmtId="0" fontId="7" fillId="8" borderId="2" xfId="0" applyFont="1" applyFill="1" applyBorder="1" applyAlignment="1" applyProtection="1">
      <alignment horizontal="center" vertical="center"/>
      <protection locked="0"/>
    </xf>
    <xf numFmtId="0" fontId="9" fillId="3" borderId="19" xfId="0" applyFont="1" applyFill="1" applyBorder="1" applyAlignment="1">
      <alignment horizontal="center" vertical="center"/>
    </xf>
    <xf numFmtId="0" fontId="9" fillId="3" borderId="18" xfId="0" applyFont="1" applyFill="1" applyBorder="1" applyAlignment="1">
      <alignment horizontal="center" vertical="center"/>
    </xf>
    <xf numFmtId="0" fontId="9" fillId="3" borderId="34" xfId="0" applyFont="1" applyFill="1" applyBorder="1" applyAlignment="1">
      <alignment horizontal="center" vertical="center"/>
    </xf>
    <xf numFmtId="0" fontId="7" fillId="8" borderId="3" xfId="0" applyFont="1" applyFill="1" applyBorder="1" applyAlignment="1" applyProtection="1">
      <alignment horizontal="center" vertical="center" wrapText="1"/>
      <protection locked="0"/>
    </xf>
    <xf numFmtId="0" fontId="7" fillId="8" borderId="1" xfId="0" applyFont="1" applyFill="1" applyBorder="1" applyAlignment="1" applyProtection="1">
      <alignment horizontal="center" vertical="center" wrapText="1"/>
      <protection locked="0"/>
    </xf>
    <xf numFmtId="0" fontId="7" fillId="8" borderId="2" xfId="0" applyFont="1" applyFill="1" applyBorder="1" applyAlignment="1" applyProtection="1">
      <alignment horizontal="center" vertical="center" wrapText="1"/>
      <protection locked="0"/>
    </xf>
    <xf numFmtId="9" fontId="7" fillId="8" borderId="3" xfId="12" applyFont="1" applyFill="1" applyBorder="1" applyAlignment="1" applyProtection="1">
      <alignment horizontal="left" vertical="center"/>
      <protection locked="0"/>
    </xf>
    <xf numFmtId="9" fontId="7" fillId="8" borderId="31" xfId="12" applyFont="1" applyFill="1" applyBorder="1" applyAlignment="1" applyProtection="1">
      <alignment horizontal="left" vertical="center"/>
      <protection locked="0"/>
    </xf>
    <xf numFmtId="0" fontId="8" fillId="2" borderId="4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left" vertical="center"/>
    </xf>
    <xf numFmtId="0" fontId="7" fillId="9" borderId="19" xfId="0" applyFont="1" applyFill="1" applyBorder="1" applyAlignment="1">
      <alignment horizontal="center" vertical="center" wrapText="1"/>
    </xf>
    <xf numFmtId="0" fontId="7" fillId="9" borderId="18" xfId="0" applyFont="1" applyFill="1" applyBorder="1" applyAlignment="1">
      <alignment horizontal="center" vertical="center" wrapText="1"/>
    </xf>
    <xf numFmtId="0" fontId="7" fillId="9" borderId="34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/>
    </xf>
    <xf numFmtId="0" fontId="8" fillId="2" borderId="54" xfId="0" applyFont="1" applyFill="1" applyBorder="1" applyAlignment="1">
      <alignment horizontal="left" vertical="center" wrapText="1"/>
    </xf>
    <xf numFmtId="0" fontId="8" fillId="2" borderId="55" xfId="0" applyFont="1" applyFill="1" applyBorder="1" applyAlignment="1">
      <alignment horizontal="left" vertical="center" wrapText="1"/>
    </xf>
    <xf numFmtId="0" fontId="8" fillId="2" borderId="61" xfId="0" applyFont="1" applyFill="1" applyBorder="1" applyAlignment="1">
      <alignment horizontal="left" vertical="center" wrapText="1"/>
    </xf>
    <xf numFmtId="0" fontId="7" fillId="2" borderId="64" xfId="0" applyFont="1" applyFill="1" applyBorder="1" applyAlignment="1">
      <alignment horizontal="left" vertical="center"/>
    </xf>
    <xf numFmtId="0" fontId="7" fillId="2" borderId="10" xfId="0" applyFont="1" applyFill="1" applyBorder="1" applyAlignment="1">
      <alignment horizontal="left" vertical="center"/>
    </xf>
    <xf numFmtId="0" fontId="9" fillId="3" borderId="25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29" xfId="0" applyFont="1" applyFill="1" applyBorder="1" applyAlignment="1">
      <alignment horizontal="center" vertical="center" wrapText="1"/>
    </xf>
    <xf numFmtId="0" fontId="9" fillId="3" borderId="66" xfId="0" applyFont="1" applyFill="1" applyBorder="1" applyAlignment="1">
      <alignment horizontal="center" vertical="center" wrapText="1"/>
    </xf>
    <xf numFmtId="0" fontId="9" fillId="3" borderId="42" xfId="0" applyFont="1" applyFill="1" applyBorder="1" applyAlignment="1">
      <alignment horizontal="center" vertical="center" wrapText="1"/>
    </xf>
    <xf numFmtId="0" fontId="8" fillId="2" borderId="64" xfId="0" applyFont="1" applyFill="1" applyBorder="1" applyAlignment="1">
      <alignment horizontal="left" vertical="center"/>
    </xf>
    <xf numFmtId="0" fontId="8" fillId="2" borderId="10" xfId="0" applyFont="1" applyFill="1" applyBorder="1" applyAlignment="1">
      <alignment horizontal="left" vertical="center"/>
    </xf>
    <xf numFmtId="9" fontId="7" fillId="8" borderId="65" xfId="12" applyFont="1" applyFill="1" applyBorder="1" applyAlignment="1" applyProtection="1">
      <alignment horizontal="left" vertical="center"/>
      <protection locked="0"/>
    </xf>
    <xf numFmtId="9" fontId="7" fillId="8" borderId="48" xfId="12" applyFont="1" applyFill="1" applyBorder="1" applyAlignment="1" applyProtection="1">
      <alignment horizontal="left" vertical="center"/>
      <protection locked="0"/>
    </xf>
    <xf numFmtId="0" fontId="7" fillId="8" borderId="7" xfId="0" applyFont="1" applyFill="1" applyBorder="1" applyAlignment="1" applyProtection="1">
      <alignment horizontal="left" vertical="center"/>
      <protection locked="0"/>
    </xf>
    <xf numFmtId="0" fontId="7" fillId="8" borderId="4" xfId="0" applyFont="1" applyFill="1" applyBorder="1" applyAlignment="1" applyProtection="1">
      <alignment horizontal="left" vertical="center"/>
      <protection locked="0"/>
    </xf>
    <xf numFmtId="168" fontId="19" fillId="8" borderId="4" xfId="0" applyNumberFormat="1" applyFont="1" applyFill="1" applyBorder="1" applyAlignment="1" applyProtection="1">
      <alignment horizontal="left" vertical="center"/>
      <protection locked="0"/>
    </xf>
    <xf numFmtId="168" fontId="19" fillId="8" borderId="33" xfId="0" applyNumberFormat="1" applyFont="1" applyFill="1" applyBorder="1" applyAlignment="1" applyProtection="1">
      <alignment horizontal="left" vertical="center"/>
      <protection locked="0"/>
    </xf>
    <xf numFmtId="0" fontId="7" fillId="8" borderId="7" xfId="0" applyFont="1" applyFill="1" applyBorder="1" applyAlignment="1" applyProtection="1">
      <alignment horizontal="left" vertical="center" wrapText="1"/>
      <protection locked="0"/>
    </xf>
    <xf numFmtId="0" fontId="7" fillId="8" borderId="4" xfId="0" applyFont="1" applyFill="1" applyBorder="1" applyAlignment="1" applyProtection="1">
      <alignment horizontal="left" vertical="center" wrapText="1"/>
      <protection locked="0"/>
    </xf>
    <xf numFmtId="0" fontId="7" fillId="8" borderId="7" xfId="0" applyFont="1" applyFill="1" applyBorder="1" applyAlignment="1" applyProtection="1">
      <alignment horizontal="center" vertical="center"/>
      <protection locked="0"/>
    </xf>
    <xf numFmtId="0" fontId="7" fillId="8" borderId="4" xfId="0" applyFont="1" applyFill="1" applyBorder="1" applyAlignment="1" applyProtection="1">
      <alignment horizontal="center" vertical="center"/>
      <protection locked="0"/>
    </xf>
    <xf numFmtId="0" fontId="8" fillId="0" borderId="8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19" fillId="8" borderId="65" xfId="0" applyFont="1" applyFill="1" applyBorder="1" applyAlignment="1" applyProtection="1">
      <alignment horizontal="left" vertical="center"/>
      <protection locked="0"/>
    </xf>
    <xf numFmtId="0" fontId="19" fillId="8" borderId="10" xfId="0" applyFont="1" applyFill="1" applyBorder="1" applyAlignment="1" applyProtection="1">
      <alignment horizontal="left" vertical="center"/>
      <protection locked="0"/>
    </xf>
    <xf numFmtId="0" fontId="19" fillId="8" borderId="48" xfId="0" applyFont="1" applyFill="1" applyBorder="1" applyAlignment="1" applyProtection="1">
      <alignment horizontal="left" vertical="center"/>
      <protection locked="0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8" fillId="2" borderId="38" xfId="0" applyFont="1" applyFill="1" applyBorder="1" applyAlignment="1">
      <alignment horizontal="center" vertical="center" wrapText="1"/>
    </xf>
    <xf numFmtId="0" fontId="8" fillId="0" borderId="64" xfId="0" applyFont="1" applyBorder="1" applyAlignment="1">
      <alignment horizontal="right" vertical="center"/>
    </xf>
    <xf numFmtId="0" fontId="8" fillId="0" borderId="10" xfId="0" applyFont="1" applyBorder="1" applyAlignment="1">
      <alignment horizontal="right" vertical="center"/>
    </xf>
    <xf numFmtId="0" fontId="8" fillId="0" borderId="16" xfId="0" applyFont="1" applyBorder="1" applyAlignment="1">
      <alignment horizontal="right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8" fillId="0" borderId="68" xfId="0" applyFont="1" applyBorder="1" applyAlignment="1">
      <alignment horizontal="right" vertical="center"/>
    </xf>
    <xf numFmtId="0" fontId="8" fillId="0" borderId="14" xfId="0" applyFont="1" applyBorder="1" applyAlignment="1">
      <alignment horizontal="right" vertical="center"/>
    </xf>
    <xf numFmtId="0" fontId="8" fillId="0" borderId="43" xfId="0" applyFont="1" applyBorder="1" applyAlignment="1">
      <alignment horizontal="right" vertical="center"/>
    </xf>
  </cellXfs>
  <cellStyles count="17">
    <cellStyle name="Euro" xfId="1"/>
    <cellStyle name="Lien hypertexte" xfId="3" builtinId="8" hidden="1"/>
    <cellStyle name="Lien hypertexte" xfId="5" builtinId="8" hidden="1"/>
    <cellStyle name="Lien hypertexte" xfId="7" builtinId="8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Milliers_Fiche budget 7" xfId="15"/>
    <cellStyle name="Monétaire 2" xfId="16"/>
    <cellStyle name="Monétaire_Fiche budget 7" xfId="14"/>
    <cellStyle name="Normal" xfId="0" builtinId="0"/>
    <cellStyle name="Normal 2" xfId="2"/>
    <cellStyle name="Normal 3" xfId="10"/>
    <cellStyle name="Normal 4" xfId="13"/>
    <cellStyle name="Pourcentage" xfId="9" builtinId="5"/>
    <cellStyle name="Pourcentage 2" xfId="11"/>
    <cellStyle name="Pourcentage 3" xfId="12"/>
  </cellStyles>
  <dxfs count="80">
    <dxf>
      <font>
        <color rgb="FF009A46"/>
      </font>
      <fill>
        <patternFill>
          <bgColor theme="0"/>
        </patternFill>
      </fill>
    </dxf>
    <dxf>
      <font>
        <color rgb="FFE84242"/>
      </font>
      <fill>
        <patternFill patternType="none">
          <bgColor auto="1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009A46"/>
      </font>
      <fill>
        <patternFill>
          <bgColor theme="0"/>
        </patternFill>
      </fill>
    </dxf>
    <dxf>
      <font>
        <color rgb="FFE84242"/>
      </font>
      <fill>
        <patternFill patternType="none">
          <bgColor auto="1"/>
        </patternFill>
      </fill>
    </dxf>
    <dxf>
      <font>
        <color rgb="FF009A46"/>
      </font>
      <fill>
        <patternFill>
          <bgColor theme="0"/>
        </patternFill>
      </fill>
    </dxf>
    <dxf>
      <font>
        <color rgb="FFE84242"/>
      </font>
      <fill>
        <patternFill patternType="none">
          <bgColor auto="1"/>
        </patternFill>
      </fill>
    </dxf>
    <dxf>
      <font>
        <color rgb="FFE84242"/>
      </font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colors>
    <mruColors>
      <color rgb="FFFAF0F0"/>
      <color rgb="FFFBE1E1"/>
      <color rgb="FFFF99FF"/>
      <color rgb="FFE84242"/>
      <color rgb="FFCCFF66"/>
      <color rgb="FFFF8E8E"/>
      <color rgb="FFF0F8FA"/>
      <color rgb="FFF4F7ED"/>
      <color rgb="FFF8EDEC"/>
      <color rgb="FF009A4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797860</xdr:colOff>
      <xdr:row>12</xdr:row>
      <xdr:rowOff>224120</xdr:rowOff>
    </xdr:from>
    <xdr:ext cx="6304483" cy="937629"/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 rot="19040981">
          <a:off x="1270300" y="2913980"/>
          <a:ext cx="6304483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fr-FR" sz="5400" b="1" cap="none" spc="0">
              <a:ln w="10160">
                <a:solidFill>
                  <a:srgbClr val="E84242">
                    <a:alpha val="42000"/>
                  </a:srgbClr>
                </a:solidFill>
                <a:prstDash val="solid"/>
              </a:ln>
              <a:noFill/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VERSION</a:t>
          </a:r>
          <a:r>
            <a:rPr lang="fr-FR" sz="5400" b="1" cap="none" spc="0" baseline="0">
              <a:ln w="10160">
                <a:solidFill>
                  <a:srgbClr val="E84242">
                    <a:alpha val="42000"/>
                  </a:srgbClr>
                </a:solidFill>
                <a:prstDash val="solid"/>
              </a:ln>
              <a:noFill/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 DE TRAVAIL</a:t>
          </a:r>
          <a:endParaRPr lang="fr-FR" sz="5400" b="1" cap="none" spc="0">
            <a:ln w="10160">
              <a:solidFill>
                <a:srgbClr val="E84242">
                  <a:alpha val="42000"/>
                </a:srgbClr>
              </a:solidFill>
              <a:prstDash val="solid"/>
            </a:ln>
            <a:noFill/>
            <a:effectLst>
              <a:outerShdw blurRad="38100" dist="22860" dir="5400000" algn="tl" rotWithShape="0">
                <a:srgbClr val="000000">
                  <a:alpha val="30000"/>
                </a:srgbClr>
              </a:outerShdw>
            </a:effectLst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E91"/>
  <sheetViews>
    <sheetView tabSelected="1" zoomScale="70" zoomScaleNormal="70" workbookViewId="0">
      <pane xSplit="3" ySplit="7" topLeftCell="D8" activePane="bottomRight" state="frozen"/>
      <selection pane="topRight" activeCell="D1" sqref="D1"/>
      <selection pane="bottomLeft" activeCell="A7" sqref="A7"/>
      <selection pane="bottomRight" activeCell="B66" sqref="A66:XFD67"/>
    </sheetView>
  </sheetViews>
  <sheetFormatPr baseColWidth="10" defaultColWidth="11.5546875" defaultRowHeight="15.6" outlineLevelCol="1" x14ac:dyDescent="0.25"/>
  <cols>
    <col min="1" max="1" width="11.5546875" style="9"/>
    <col min="2" max="2" width="8.77734375" style="9" customWidth="1"/>
    <col min="3" max="3" width="50" style="10" customWidth="1"/>
    <col min="4" max="4" width="10.109375" style="10" customWidth="1"/>
    <col min="5" max="5" width="13" style="10" customWidth="1"/>
    <col min="6" max="6" width="9.21875" style="10" customWidth="1"/>
    <col min="7" max="8" width="10" style="10" customWidth="1"/>
    <col min="9" max="11" width="11.44140625" style="10" customWidth="1"/>
    <col min="12" max="12" width="12.77734375" style="10" customWidth="1"/>
    <col min="13" max="15" width="12.21875" style="10" customWidth="1"/>
    <col min="16" max="16" width="11.77734375" style="11" customWidth="1"/>
    <col min="17" max="27" width="12.21875" style="10" customWidth="1"/>
    <col min="28" max="28" width="34.109375" style="10" customWidth="1"/>
    <col min="29" max="29" width="11.21875" style="10" hidden="1" customWidth="1" outlineLevel="1"/>
    <col min="30" max="30" width="10.88671875" style="10" hidden="1" customWidth="1" outlineLevel="1"/>
    <col min="31" max="31" width="11.5546875" style="10" collapsed="1"/>
    <col min="32" max="16384" width="11.5546875" style="10"/>
  </cols>
  <sheetData>
    <row r="1" spans="1:30" ht="6" customHeight="1" x14ac:dyDescent="0.25"/>
    <row r="2" spans="1:30" ht="31.2" x14ac:dyDescent="0.25">
      <c r="A2" s="10"/>
      <c r="H2" s="399" t="s">
        <v>0</v>
      </c>
      <c r="I2" s="397" t="s">
        <v>1</v>
      </c>
      <c r="J2" s="398" t="s">
        <v>2</v>
      </c>
      <c r="K2" s="397" t="s">
        <v>3</v>
      </c>
      <c r="L2" s="397" t="s">
        <v>4</v>
      </c>
      <c r="M2" s="409"/>
    </row>
    <row r="3" spans="1:30" ht="18" customHeight="1" x14ac:dyDescent="0.25">
      <c r="A3" s="10"/>
      <c r="G3" s="25" t="s">
        <v>5</v>
      </c>
      <c r="H3" s="396">
        <f>SUM(I3:L3)</f>
        <v>0</v>
      </c>
      <c r="I3" s="402">
        <f>SUMIFS($AC$8:$AC$88,$G$8:$G$88,Paramétrage!$D$6,Enseignements!$D$8:$D$88,"mixte")+SUMIFS($AC$8:$AC$88,$G$8:$G$88,Paramétrage!$D$7,Enseignements!$D$8:$D$88,"mixte")+SUMIFS($AC$8:$AC$88,$G$8:$G$88,Paramétrage!$D$8,Enseignements!$D$8:$D$88,"mixte")+SUMIFS($AC$8:$AC$88,$G$8:$G$88,Paramétrage!$D$10,Enseignements!$D$8:$D$88,"mixte")+SUMIFS($AC$8:$AC$88,$G$8:$G$88,Paramétrage!$D$11,Enseignements!$D$8:$D$88,"mixte")+SUMIFS($AC$8:$AC$88,$G$8:$G$88,Paramétrage!$D$16,Enseignements!$D$8:$D$88,"mixte")+SUMIFS($AC$8:$AC$88,$G$8:$G$88,Paramétrage!$D$17,Enseignements!$D$8:$D$88,"mixte")+SUMIFS($AC$8:$AC$88,$G$8:$G$88,Paramétrage!$D$19,Enseignements!$D$8:$D$88,"mixte")+SUMIFS($AC$8:$AC$88,$G$8:$G$88,Paramétrage!$D$23,Enseignements!$D$8:$D$88,"mixte")+SUMIFS($AC$8:$AC$88,$G$8:$G$88,Paramétrage!$D$24,Enseignements!$D$8:$D$88,"mixte")+SUMIFS($AC$8:$AC$88,$G$8:$G$88,Paramétrage!$D$26,Enseignements!$D$8:$D$88,"mixte")+SUMIFS($AC$8:$AC$88,$G$8:$G$88,Paramétrage!$D$27,Enseignements!$D$8:$D$88,"mixte")+SUMIFS($AC$8:$AC$88,$G$8:$G$88,Paramétrage!$D$6,Enseignements!$D$8:$D$88,"FI/FC")+SUMIFS($AC$8:$AC$88,$G$8:$G$88,Paramétrage!$D$7,Enseignements!$D$8:$D$88,"FI/FC")+SUMIFS($AC$8:$AC$88,$G$8:$G$88,Paramétrage!$D$8,Enseignements!$D$8:$D$88,"FI/FC")+SUMIFS($AC$8:$AC$88,$G$8:$G$88,Paramétrage!$D$10,Enseignements!$D$8:$D$88,"FI/FC")+SUMIFS($AC$8:$AC$88,$G$8:$G$88,Paramétrage!$D$11,Enseignements!$D$8:$D$88,"FI/FC")+SUMIFS($AC$8:$AC$88,$G$8:$G$88,Paramétrage!$D$16,Enseignements!$D$8:$D$88,"FI/FC")+SUMIFS($AC$8:$AC$88,$G$8:$G$88,Paramétrage!$D$17,Enseignements!$D$8:$D$88,"FI/FC")+SUMIFS($AC$8:$AC$88,$G$8:$G$88,Paramétrage!$D$19,Enseignements!$D$8:$D$88,"FI/FC")+SUMIFS($AC$8:$AC$88,$G$8:$G$88,Paramétrage!$D$23,Enseignements!$D$8:$D$88,"FI/FC")+SUMIFS($AC$8:$AC$88,$G$8:$G$88,Paramétrage!$D$24,Enseignements!$D$8:$D$88,"FI/FC")+SUMIFS($AC$8:$AC$88,$G$8:$G$88,Paramétrage!$D$26,Enseignements!$D$8:$D$88,"FI/FC")+SUMIFS($AC$8:$AC$88,$G$8:$G$88,Paramétrage!$D$27,Enseignements!$D$8:$D$88,"FI/FC")</f>
        <v>0</v>
      </c>
      <c r="J3" s="402">
        <f>SUMIF($G$8:$G$88,Paramétrage!$D$9,$AC$8:$AC$88)</f>
        <v>0</v>
      </c>
      <c r="K3" s="402">
        <f>SUMIFS($AC$8:$AC$88,$G$8:$G$88,Paramétrage!$D$15,Enseignements!$D$8:$D$88,"mixte")+SUMIFS($AC$8:$AC$88,$G$8:$G$88,Paramétrage!$D$15,Enseignements!$D$8:$D$88,"FI/FC")</f>
        <v>0</v>
      </c>
      <c r="L3" s="402">
        <f>SUMIFS($AC$8:$AC$88,$G$8:$G$88,Paramétrage!$D$18,Enseignements!$D$8:$D$88,"mixte")+SUMIFS($AC$8:$AC$88,$G$8:$G$88,Paramétrage!$D$21,Enseignements!$D$8:$D$88,"mixte")+SUMIFS($AC$8:$AC$88,$G$8:$G$88,Paramétrage!$D$22,Enseignements!$D$8:$D$88,"mixte")+SUMIFS($AC$8:$AC$88,$G$8:$G$88,Paramétrage!$D$25,Enseignements!$D$8:$D$88,"mixte")+SUMIFS($AC$8:$AC$88,$G$8:$G$88,Paramétrage!$D$18,Enseignements!$D$8:$D$88,"FI/FC")+SUMIFS($AC$8:$AC$88,$G$8:$G$88,Paramétrage!$D$21,Enseignements!$D$8:$D$88,"FI/FC")+SUMIFS($AC$8:$AC$88,$G$8:$G$88,Paramétrage!$D$22,Enseignements!$D$8:$D$88,"FI/FC")+SUMIFS($AC$8:$AC$88,$G$8:$G$88,Paramétrage!$D$25,Enseignements!$D$8:$D$88,"FI/FC")</f>
        <v>0</v>
      </c>
      <c r="M3" s="409"/>
    </row>
    <row r="4" spans="1:30" ht="18" customHeight="1" x14ac:dyDescent="0.25">
      <c r="A4" s="10"/>
      <c r="G4" s="25" t="s">
        <v>6</v>
      </c>
      <c r="H4" s="396">
        <f>SUM(I4:L4)</f>
        <v>508</v>
      </c>
      <c r="I4" s="402">
        <f>SUMIFS($AC$8:$AC$88,$G$8:$G$88,Paramétrage!$D$6,Enseignements!$D$8:$D$88,"mixte")+SUMIFS($AC$8:$AC$88,$G$8:$G$88,Paramétrage!$D$7,Enseignements!$D$8:$D$88,"mixte")+SUMIFS($AC$8:$AC$88,$G$8:$G$88,Paramétrage!$D$8,Enseignements!$D$8:$D$88,"mixte")+SUMIFS($AC$8:$AC$88,$G$8:$G$88,Paramétrage!$D$10,Enseignements!$D$8:$D$88,"mixte")+SUMIFS($AC$8:$AC$88,$G$8:$G$88,Paramétrage!$D$11,Enseignements!$D$8:$D$88,"mixte")+SUMIFS($AC$8:$AC$88,$G$8:$G$88,Paramétrage!$D$16,Enseignements!$D$8:$D$88,"mixte")+SUMIFS($AC$8:$AC$88,$G$8:$G$88,Paramétrage!$D$17,Enseignements!$D$8:$D$88,"mixte")+SUMIFS($AC$8:$AC$88,$G$8:$G$88,Paramétrage!$D$19,Enseignements!$D$8:$D$88,"mixte")+SUMIFS($AC$8:$AC$88,$G$8:$G$88,Paramétrage!$D$23,Enseignements!$D$8:$D$88,"mixte")+SUMIFS($AC$8:$AC$88,$G$8:$G$88,Paramétrage!$D$24,Enseignements!$D$8:$D$88,"mixte")+SUMIFS($AC$8:$AC$88,$G$8:$G$88,Paramétrage!$D$26,Enseignements!$D$8:$D$88,"mixte")+SUMIFS($AC$8:$AC$88,$G$8:$G$88,Paramétrage!$D$27,Enseignements!$D$8:$D$88,"mixte")+SUMIFS($AC$8:$AC$88,$G$8:$G$88,Paramétrage!$D$6,Enseignements!$D$8:$D$88,"ALT")+SUMIFS($AC$8:$AC$88,$G$8:$G$88,Paramétrage!$D$7,Enseignements!$D$8:$D$88,"ALT")+SUMIFS($AC$8:$AC$88,$G$8:$G$88,Paramétrage!$D$8,Enseignements!$D$8:$D$88,"ALT")+SUMIFS($AC$8:$AC$88,$G$8:$G$88,Paramétrage!$D$10,Enseignements!$D$8:$D$88,"ALT")+SUMIFS($AC$8:$AC$88,$G$8:$G$88,Paramétrage!$D$11,Enseignements!$D$8:$D$88,"ALT")+SUMIFS($AC$8:$AC$88,$G$8:$G$88,Paramétrage!$D$16,Enseignements!$D$8:$D$88,"ALT")+SUMIFS($AC$8:$AC$88,$G$8:$G$88,Paramétrage!$D$17,Enseignements!$D$8:$D$88,"ALT")+SUMIFS($AC$8:$AC$88,$G$8:$G$88,Paramétrage!$D$19,Enseignements!$D$8:$D$88,"ALT")+SUMIFS($AC$8:$AC$88,$G$8:$G$88,Paramétrage!$D$23,Enseignements!$D$8:$D$88,"ALT")+SUMIFS($AC$8:$AC$88,$G$8:$G$88,Paramétrage!$D$24,Enseignements!$D$8:$D$88,"ALT")+SUMIFS($AC$8:$AC$88,$G$8:$G$88,Paramétrage!$D$26,Enseignements!$D$8:$D$88,"ALT")+SUMIFS($AC$8:$AC$88,$G$8:$G$88,Paramétrage!$D$27,Enseignements!$D$8:$D$88,"ALT")</f>
        <v>410</v>
      </c>
      <c r="J4" s="402">
        <f>SUMIF($G$8:$G$88,Paramétrage!$D$12,$AC$8:$AC$88)</f>
        <v>0</v>
      </c>
      <c r="K4" s="402">
        <f>SUMIFS($AC$8:$AC$88,$G$8:$G$88,Paramétrage!$D$15,Enseignements!$D$8:$D$88,"mixte")+SUMIFS($AC$8:$AC$88,$G$8:$G$88,Paramétrage!$D$15,Enseignements!$D$8:$D$88,"ALT")</f>
        <v>88</v>
      </c>
      <c r="L4" s="402">
        <f>SUMIFS($AC$8:$AC$88,$G$8:$G$88,Paramétrage!$D$18,Enseignements!$D$8:$D$88,"mixte")+SUMIFS($AC$8:$AC$88,$G$8:$G$88,Paramétrage!$D$21,Enseignements!$D$8:$D$88,"mixte")+SUMIFS($AC$8:$AC$88,$G$8:$G$88,Paramétrage!$D$22,Enseignements!$D$8:$D$88,"mixte")+SUMIFS($AC$8:$AC$88,$G$8:$G$88,Paramétrage!$D$25,Enseignements!$D$8:$D$88,"mixte")+SUMIFS($AC$8:$AC$88,$G$8:$G$88,Paramétrage!$D$18,Enseignements!$D$8:$D$88,"ALT")+SUMIFS($AC$8:$AC$88,$G$8:$G$88,Paramétrage!$D$21,Enseignements!$D$8:$D$88,"ALT")+SUMIFS($AC$8:$AC$88,$G$8:$G$88,Paramétrage!$D$22,Enseignements!$D$8:$D$88,"ALT")+SUMIFS($AC$8:$AC$88,$G$8:$G$88,Paramétrage!$D$25,Enseignements!$D$8:$D$88,"ALT")</f>
        <v>10</v>
      </c>
      <c r="M4" s="409"/>
      <c r="W4" s="400"/>
    </row>
    <row r="5" spans="1:30" ht="6.6" customHeight="1" thickBot="1" x14ac:dyDescent="0.3">
      <c r="A5" s="10"/>
      <c r="B5" s="10"/>
    </row>
    <row r="6" spans="1:30" ht="68.400000000000006" customHeight="1" x14ac:dyDescent="0.3">
      <c r="A6" s="12"/>
      <c r="B6" s="491" t="s">
        <v>7</v>
      </c>
      <c r="C6" s="496" t="s">
        <v>8</v>
      </c>
      <c r="D6" s="496" t="s">
        <v>9</v>
      </c>
      <c r="E6" s="498" t="s">
        <v>10</v>
      </c>
      <c r="F6" s="496" t="s">
        <v>11</v>
      </c>
      <c r="G6" s="500" t="s">
        <v>12</v>
      </c>
      <c r="H6" s="500" t="s">
        <v>13</v>
      </c>
      <c r="I6" s="498" t="s">
        <v>14</v>
      </c>
      <c r="J6" s="502" t="s">
        <v>15</v>
      </c>
      <c r="K6" s="494" t="s">
        <v>16</v>
      </c>
      <c r="L6" s="485" t="s">
        <v>17</v>
      </c>
      <c r="M6" s="485"/>
      <c r="N6" s="485"/>
      <c r="O6" s="486"/>
      <c r="P6" s="43" t="s">
        <v>18</v>
      </c>
      <c r="Q6" s="43" t="s">
        <v>19</v>
      </c>
      <c r="R6" s="13" t="s">
        <v>20</v>
      </c>
      <c r="S6" s="13" t="s">
        <v>21</v>
      </c>
      <c r="T6" s="68" t="s">
        <v>22</v>
      </c>
      <c r="U6" s="364" t="s">
        <v>23</v>
      </c>
      <c r="V6" s="365" t="s">
        <v>24</v>
      </c>
      <c r="W6" s="365" t="s">
        <v>25</v>
      </c>
      <c r="X6" s="365" t="s">
        <v>26</v>
      </c>
      <c r="Y6" s="366" t="s">
        <v>27</v>
      </c>
      <c r="Z6" s="484" t="s">
        <v>28</v>
      </c>
      <c r="AA6" s="485"/>
      <c r="AB6" s="486"/>
      <c r="AC6" s="508" t="s">
        <v>29</v>
      </c>
      <c r="AD6" s="486" t="s">
        <v>30</v>
      </c>
    </row>
    <row r="7" spans="1:30" ht="16.2" thickBot="1" x14ac:dyDescent="0.35">
      <c r="A7" s="12"/>
      <c r="B7" s="492"/>
      <c r="C7" s="497"/>
      <c r="D7" s="497"/>
      <c r="E7" s="499"/>
      <c r="F7" s="497"/>
      <c r="G7" s="501"/>
      <c r="H7" s="501"/>
      <c r="I7" s="499"/>
      <c r="J7" s="503"/>
      <c r="K7" s="495"/>
      <c r="L7" s="488"/>
      <c r="M7" s="488"/>
      <c r="N7" s="488"/>
      <c r="O7" s="489"/>
      <c r="P7" s="53"/>
      <c r="Q7" s="14">
        <f t="shared" ref="Q7:Y7" si="0">Q48+Q89</f>
        <v>434</v>
      </c>
      <c r="R7" s="14">
        <f t="shared" si="0"/>
        <v>181</v>
      </c>
      <c r="S7" s="14">
        <f t="shared" si="0"/>
        <v>615</v>
      </c>
      <c r="T7" s="394">
        <f t="shared" si="0"/>
        <v>696.5</v>
      </c>
      <c r="U7" s="395">
        <f t="shared" si="0"/>
        <v>262</v>
      </c>
      <c r="V7" s="14">
        <f t="shared" si="0"/>
        <v>0</v>
      </c>
      <c r="W7" s="14">
        <f t="shared" si="0"/>
        <v>374</v>
      </c>
      <c r="X7" s="14">
        <f t="shared" si="0"/>
        <v>0</v>
      </c>
      <c r="Y7" s="14">
        <f t="shared" si="0"/>
        <v>636</v>
      </c>
      <c r="Z7" s="487"/>
      <c r="AA7" s="488"/>
      <c r="AB7" s="489"/>
      <c r="AC7" s="509"/>
      <c r="AD7" s="489"/>
    </row>
    <row r="8" spans="1:30" ht="15.6" customHeight="1" x14ac:dyDescent="0.25">
      <c r="A8" s="505" t="s">
        <v>31</v>
      </c>
      <c r="B8" s="410" t="s">
        <v>32</v>
      </c>
      <c r="C8" s="411"/>
      <c r="D8" s="403"/>
      <c r="E8" s="49"/>
      <c r="F8" s="30"/>
      <c r="G8" s="28"/>
      <c r="H8" s="40"/>
      <c r="I8" s="401"/>
      <c r="J8" s="57"/>
      <c r="K8" s="50"/>
      <c r="L8" s="478"/>
      <c r="M8" s="478"/>
      <c r="N8" s="478"/>
      <c r="O8" s="490"/>
      <c r="P8" s="368">
        <f>IF(OR(J8="",G8=Paramétrage!$D$9,G8=Paramétrage!$D$12,G8=Paramétrage!$D$15,G8=Paramétrage!$D$18,G8=Paramétrage!$D$22,G8=Paramétrage!$D$25,AND(G8&lt;&gt;Paramétrage!$D$9,K8="Mut+ext")),0,ROUNDUP(I8/J8,0))</f>
        <v>0</v>
      </c>
      <c r="Q8" s="17">
        <f>IF(OR(G8="",K8="Mut+ext"),0,IF(VLOOKUP(G8,Paramétrage!$D$6:$F$27,3,0)=0,0,IF(J8="","saisir capacité",H8*P8*VLOOKUP(G8,Paramétrage!$D$6:$F$27,2,0))))</f>
        <v>0</v>
      </c>
      <c r="R8" s="58"/>
      <c r="S8" s="15">
        <f>IF(OR(G8="",K8="Mut+ext"),0,IF(ISERROR(Q8+R8)=TRUE,Q8,Q8+R8))</f>
        <v>0</v>
      </c>
      <c r="T8" s="59">
        <f>IF(G8="",0,IF(ISERROR(R8+Q8*VLOOKUP(G8,Paramétrage!$D$6:$F$27,3,0))=TRUE,S8,R8+Q8*VLOOKUP(G8,Paramétrage!$D$6:$F$27,3,0)))</f>
        <v>0</v>
      </c>
      <c r="U8" s="37"/>
      <c r="V8" s="37"/>
      <c r="W8" s="37"/>
      <c r="X8" s="37"/>
      <c r="Y8" s="369">
        <f>SUM(U8:X8)</f>
        <v>0</v>
      </c>
      <c r="Z8" s="477"/>
      <c r="AA8" s="478"/>
      <c r="AB8" s="490"/>
      <c r="AC8" s="60">
        <f>IF(B8="",0,IF(E8="",0,IF(SUMIF(B8:B27,B8,I8:I27)=0,0,IF(E8="Obligatoire",AD8/I8,IF(F8="",AD8/SUMIF(B8:B27,B8,I8:I27),AD8/(SUMIF(B8:B27,B8,I8:I27)/F8))))))</f>
        <v>0</v>
      </c>
      <c r="AD8" s="61">
        <f>H8*I8</f>
        <v>0</v>
      </c>
    </row>
    <row r="9" spans="1:30" x14ac:dyDescent="0.25">
      <c r="A9" s="506"/>
      <c r="B9" s="412">
        <v>1</v>
      </c>
      <c r="C9" s="413" t="s">
        <v>288</v>
      </c>
      <c r="D9" s="32" t="s">
        <v>33</v>
      </c>
      <c r="E9" s="49" t="s">
        <v>34</v>
      </c>
      <c r="F9" s="30"/>
      <c r="G9" s="31" t="s">
        <v>35</v>
      </c>
      <c r="H9" s="41">
        <v>21</v>
      </c>
      <c r="I9" s="383">
        <v>15</v>
      </c>
      <c r="J9" s="45">
        <v>15</v>
      </c>
      <c r="K9" s="34" t="s">
        <v>36</v>
      </c>
      <c r="L9" s="474"/>
      <c r="M9" s="474"/>
      <c r="N9" s="474"/>
      <c r="O9" s="475"/>
      <c r="P9" s="368">
        <f>IF(OR(J9="",G9=Paramétrage!$D$9,G9=Paramétrage!$D$12,G9=Paramétrage!$D$15,G9=Paramétrage!$D$18,G9=Paramétrage!$D$22,G9=Paramétrage!$D$25,AND(G9&lt;&gt;Paramétrage!$D$9,K9="Mut+ext")),0,ROUNDUP(I9/J9,0))</f>
        <v>1</v>
      </c>
      <c r="Q9" s="17">
        <f>IF(OR(G9="",K9="Mut+ext"),0,IF(VLOOKUP(G9,Paramétrage!$D$6:$F$27,3,0)=0,0,IF(J9="","saisir capacité",H9*P9*VLOOKUP(G9,Paramétrage!$D$6:$F$27,2,0))))</f>
        <v>21</v>
      </c>
      <c r="R9" s="33"/>
      <c r="S9" s="15">
        <f t="shared" ref="S9:S70" si="1">IF(OR(G9="",K9="Mut+ext"),0,IF(ISERROR(Q9+R9)=TRUE,Q9,Q9+R9))</f>
        <v>21</v>
      </c>
      <c r="T9" s="27">
        <f>IF(G9="",0,IF(ISERROR(R9+Q9*VLOOKUP(G9,Paramétrage!$D$6:$F$27,3,0))=TRUE,S9,R9+Q9*VLOOKUP(G9,Paramétrage!$D$6:$F$27,3,0)))</f>
        <v>31.5</v>
      </c>
      <c r="U9" s="37">
        <v>21</v>
      </c>
      <c r="V9" s="37"/>
      <c r="W9" s="37"/>
      <c r="X9" s="37"/>
      <c r="Y9" s="369">
        <f t="shared" ref="Y9:Y27" si="2">SUM(U9:X9)</f>
        <v>21</v>
      </c>
      <c r="Z9" s="476"/>
      <c r="AA9" s="474"/>
      <c r="AB9" s="475"/>
      <c r="AC9" s="26">
        <f>IF(B9="",0,IF(E9="",0,IF(SUMIF(B8:B27,B9,I8:I27)=0,0,IF(E9="Obligatoire",AD9/I9,IF(F9="",AD9/SUMIF(B8:B27,B9,I8:I27),AD9/(SUMIF(B8:B27,B9,I8:I27)/F9))))))</f>
        <v>21</v>
      </c>
      <c r="AD9" s="16">
        <f>H9*I9</f>
        <v>315</v>
      </c>
    </row>
    <row r="10" spans="1:30" x14ac:dyDescent="0.25">
      <c r="A10" s="506"/>
      <c r="B10" s="432">
        <v>2</v>
      </c>
      <c r="C10" s="413" t="s">
        <v>289</v>
      </c>
      <c r="D10" s="32" t="s">
        <v>33</v>
      </c>
      <c r="E10" s="49" t="s">
        <v>34</v>
      </c>
      <c r="F10" s="30"/>
      <c r="G10" s="31" t="s">
        <v>37</v>
      </c>
      <c r="H10" s="41">
        <v>12</v>
      </c>
      <c r="I10" s="383">
        <v>15</v>
      </c>
      <c r="J10" s="45">
        <v>15</v>
      </c>
      <c r="K10" s="34" t="s">
        <v>36</v>
      </c>
      <c r="L10" s="474"/>
      <c r="M10" s="474"/>
      <c r="N10" s="474"/>
      <c r="O10" s="475"/>
      <c r="P10" s="368">
        <f>IF(OR(J10="",G10=Paramétrage!$D$9,G10=Paramétrage!$D$12,G10=Paramétrage!$D$15,G10=Paramétrage!$D$18,G10=Paramétrage!$D$22,G10=Paramétrage!$D$25,AND(G10&lt;&gt;Paramétrage!$D$9,K10="Mut+ext")),0,ROUNDUP(I10/J10,0))</f>
        <v>1</v>
      </c>
      <c r="Q10" s="17">
        <f>IF(OR(G10="",K10="Mut+ext"),0,IF(VLOOKUP(G10,Paramétrage!$D$6:$F$27,3,0)=0,0,IF(J10="","saisir capacité",H10*P10*VLOOKUP(G10,Paramétrage!$D$6:$F$27,2,0))))</f>
        <v>12</v>
      </c>
      <c r="R10" s="33"/>
      <c r="S10" s="15">
        <f t="shared" si="1"/>
        <v>12</v>
      </c>
      <c r="T10" s="27">
        <f>IF(G10="",0,IF(ISERROR(R10+Q10*VLOOKUP(G10,Paramétrage!$D$6:$F$27,3,0))=TRUE,S10,R10+Q10*VLOOKUP(G10,Paramétrage!$D$6:$F$27,3,0)))</f>
        <v>12</v>
      </c>
      <c r="U10" s="37">
        <v>12</v>
      </c>
      <c r="V10" s="37"/>
      <c r="W10" s="37"/>
      <c r="X10" s="37"/>
      <c r="Y10" s="369">
        <f t="shared" si="2"/>
        <v>12</v>
      </c>
      <c r="Z10" s="476"/>
      <c r="AA10" s="474"/>
      <c r="AB10" s="475"/>
      <c r="AC10" s="26">
        <f>IF(B10="",0,IF(E10="",0,IF(SUMIF(B8:B27,B10,I8:I27)=0,0,IF(E10="Obligatoire",AD10/I10,IF(F10="",AD10/SUMIF(B8:B27,B10,I8:I27),AD10/(SUMIF(B8:B27,B10,I8:I27)/F10))))))</f>
        <v>12</v>
      </c>
      <c r="AD10" s="16">
        <f>H10*I10</f>
        <v>180</v>
      </c>
    </row>
    <row r="11" spans="1:30" x14ac:dyDescent="0.25">
      <c r="A11" s="506"/>
      <c r="B11" s="412">
        <v>3</v>
      </c>
      <c r="C11" s="424" t="s">
        <v>38</v>
      </c>
      <c r="D11" s="425" t="s">
        <v>33</v>
      </c>
      <c r="E11" s="426" t="s">
        <v>34</v>
      </c>
      <c r="F11" s="427"/>
      <c r="G11" s="383" t="s">
        <v>37</v>
      </c>
      <c r="H11" s="41">
        <v>9</v>
      </c>
      <c r="I11" s="383">
        <v>15</v>
      </c>
      <c r="J11" s="45">
        <v>15</v>
      </c>
      <c r="K11" s="428" t="s">
        <v>36</v>
      </c>
      <c r="L11" s="474"/>
      <c r="M11" s="474"/>
      <c r="N11" s="474"/>
      <c r="O11" s="475"/>
      <c r="P11" s="368">
        <f>IF(OR(J11="",G11=Paramétrage!$D$9,G11=Paramétrage!$D$12,G11=Paramétrage!$D$15,G11=Paramétrage!$D$18,G11=Paramétrage!$D$22,G11=Paramétrage!$D$25,AND(G11&lt;&gt;Paramétrage!$D$9,K11="Mut+ext")),0,ROUNDUP(I11/J11,0))</f>
        <v>1</v>
      </c>
      <c r="Q11" s="17">
        <f>IF(OR(G11="",K11="Mut+ext"),0,IF(VLOOKUP(G11,Paramétrage!$D$6:$F$27,3,0)=0,0,IF(J11="","saisir capacité",H11*P11*VLOOKUP(G11,Paramétrage!$D$6:$F$27,2,0))))</f>
        <v>9</v>
      </c>
      <c r="R11" s="33"/>
      <c r="S11" s="15">
        <f t="shared" si="1"/>
        <v>9</v>
      </c>
      <c r="T11" s="27">
        <f>IF(G11="",0,IF(ISERROR(R11+Q11*VLOOKUP(G11,Paramétrage!$D$6:$F$27,3,0))=TRUE,S11,R11+Q11*VLOOKUP(G11,Paramétrage!$D$6:$F$27,3,0)))</f>
        <v>9</v>
      </c>
      <c r="U11" s="37">
        <v>9</v>
      </c>
      <c r="V11" s="37"/>
      <c r="W11" s="37"/>
      <c r="X11" s="37"/>
      <c r="Y11" s="369">
        <f t="shared" si="2"/>
        <v>9</v>
      </c>
      <c r="Z11" s="476"/>
      <c r="AA11" s="474"/>
      <c r="AB11" s="475"/>
      <c r="AC11" s="26">
        <f>IF(B11="",0,IF(E11="",0,IF(SUMIF(B8:B27,B11,I8:I27)=0,0,IF(E11="Obligatoire",AD11/I11,IF(F11="",AD11/SUMIF(B8:B27,B11,I8:I27),AD11/(SUMIF(B8:B27,B11,I8:I27)/F11))))))</f>
        <v>9</v>
      </c>
      <c r="AD11" s="16">
        <f>H11*I11</f>
        <v>135</v>
      </c>
    </row>
    <row r="12" spans="1:30" x14ac:dyDescent="0.25">
      <c r="A12" s="506"/>
      <c r="B12" s="412"/>
      <c r="C12" s="424"/>
      <c r="D12" s="425"/>
      <c r="E12" s="426"/>
      <c r="F12" s="427"/>
      <c r="G12" s="383"/>
      <c r="H12" s="41"/>
      <c r="I12" s="383"/>
      <c r="J12" s="45"/>
      <c r="K12" s="428"/>
      <c r="L12" s="474"/>
      <c r="M12" s="474"/>
      <c r="N12" s="474"/>
      <c r="O12" s="475"/>
      <c r="P12" s="368">
        <f>IF(OR(J12="",G12=Paramétrage!$D$9,G12=Paramétrage!$D$12,G12=Paramétrage!$D$15,G12=Paramétrage!$D$18,G12=Paramétrage!$D$22,G12=Paramétrage!$D$25,AND(G12&lt;&gt;Paramétrage!$D$9,K12="Mut+ext")),0,ROUNDUP(I12/J12,0))</f>
        <v>0</v>
      </c>
      <c r="Q12" s="17">
        <f>IF(OR(G12="",K12="Mut+ext"),0,IF(VLOOKUP(G12,Paramétrage!$D$6:$F$27,3,0)=0,0,IF(J12="","saisir capacité",H12*P12*VLOOKUP(G12,Paramétrage!$D$6:$F$27,2,0))))</f>
        <v>0</v>
      </c>
      <c r="R12" s="33"/>
      <c r="S12" s="15">
        <f t="shared" si="1"/>
        <v>0</v>
      </c>
      <c r="T12" s="27">
        <f>IF(G12="",0,IF(ISERROR(R12+Q12*VLOOKUP(G12,Paramétrage!$D$6:$F$27,3,0))=TRUE,S12,R12+Q12*VLOOKUP(G12,Paramétrage!$D$6:$F$27,3,0)))</f>
        <v>0</v>
      </c>
      <c r="U12" s="37"/>
      <c r="V12" s="37"/>
      <c r="W12" s="37"/>
      <c r="X12" s="37"/>
      <c r="Y12" s="369">
        <f t="shared" si="2"/>
        <v>0</v>
      </c>
      <c r="Z12" s="476"/>
      <c r="AA12" s="474"/>
      <c r="AB12" s="475"/>
      <c r="AC12" s="26">
        <f>IF(B12="",0,IF(E12="",0,IF(SUMIF(B9:B27,B12,I9:I27)=0,0,IF(E12="Obligatoire",AD12/I12,IF(F12="",AD12/SUMIF(B9:B27,B12,I9:I27),AD12/(SUMIF(B9:B27,B12,I9:I27)/F12))))))</f>
        <v>0</v>
      </c>
      <c r="AD12" s="16">
        <f t="shared" ref="AD12" si="3">H12*I12</f>
        <v>0</v>
      </c>
    </row>
    <row r="13" spans="1:30" x14ac:dyDescent="0.3">
      <c r="A13" s="506"/>
      <c r="B13" s="429"/>
      <c r="C13" s="424"/>
      <c r="D13" s="425"/>
      <c r="E13" s="426"/>
      <c r="F13" s="427"/>
      <c r="G13" s="383"/>
      <c r="H13" s="41"/>
      <c r="I13" s="383"/>
      <c r="J13" s="45"/>
      <c r="K13" s="428"/>
      <c r="L13" s="474"/>
      <c r="M13" s="474"/>
      <c r="N13" s="474"/>
      <c r="O13" s="475"/>
      <c r="P13" s="368">
        <f>IF(OR(J13="",G13=Paramétrage!$D$9,G13=Paramétrage!$D$12,G13=Paramétrage!$D$15,G13=Paramétrage!$D$18,G13=Paramétrage!$D$22,G13=Paramétrage!$D$25,AND(G13&lt;&gt;Paramétrage!$D$9,K13="Mut+ext")),0,ROUNDUP(I13/J13,0))</f>
        <v>0</v>
      </c>
      <c r="Q13" s="17">
        <f>IF(OR(G13="",K13="Mut+ext"),0,IF(VLOOKUP(G13,Paramétrage!$D$6:$F$27,3,0)=0,0,IF(J13="","saisir capacité",H13*P13*VLOOKUP(G13,Paramétrage!$D$6:$F$27,2,0))))</f>
        <v>0</v>
      </c>
      <c r="R13" s="33"/>
      <c r="S13" s="15">
        <f t="shared" ref="S13:S30" si="4">IF(OR(G13="",K13="Mut+ext"),0,IF(ISERROR(Q13+R13)=TRUE,Q13,Q13+R13))</f>
        <v>0</v>
      </c>
      <c r="T13" s="27">
        <f>IF(G13="",0,IF(ISERROR(R13+Q13*VLOOKUP(G13,Paramétrage!$D$6:$F$27,3,0))=TRUE,S13,R13+Q13*VLOOKUP(G13,Paramétrage!$D$6:$F$27,3,0)))</f>
        <v>0</v>
      </c>
      <c r="U13" s="37"/>
      <c r="V13" s="37"/>
      <c r="W13" s="37"/>
      <c r="X13" s="37"/>
      <c r="Y13" s="369">
        <f t="shared" si="2"/>
        <v>0</v>
      </c>
      <c r="Z13" s="476"/>
      <c r="AA13" s="474"/>
      <c r="AB13" s="475"/>
      <c r="AC13" s="26">
        <f>IF(B13="",0,IF(E13="",0,IF(SUMIF(B10:B28,B13,I10:I28)=0,0,IF(E13="Obligatoire",AD13/I13,IF(F13="",AD13/SUMIF(B10:B28,B13,I10:I28),AD13/(SUMIF(B10:B28,B13,I10:I28)/F13))))))</f>
        <v>0</v>
      </c>
      <c r="AD13" s="16">
        <f t="shared" ref="AD13:AD30" si="5">H13*I13</f>
        <v>0</v>
      </c>
    </row>
    <row r="14" spans="1:30" x14ac:dyDescent="0.3">
      <c r="A14" s="506"/>
      <c r="B14" s="414" t="s">
        <v>39</v>
      </c>
      <c r="C14" s="415"/>
      <c r="D14" s="32"/>
      <c r="E14" s="49"/>
      <c r="F14" s="30"/>
      <c r="G14" s="31"/>
      <c r="H14" s="41"/>
      <c r="I14" s="383"/>
      <c r="J14" s="45"/>
      <c r="K14" s="34"/>
      <c r="L14" s="474"/>
      <c r="M14" s="474"/>
      <c r="N14" s="474"/>
      <c r="O14" s="475"/>
      <c r="P14" s="368">
        <f>IF(OR(J14="",G14=Paramétrage!$D$9,G14=Paramétrage!$D$12,G14=Paramétrage!$D$15,G14=Paramétrage!$D$18,G14=Paramétrage!$D$22,G14=Paramétrage!$D$25,AND(G14&lt;&gt;Paramétrage!$D$9,K14="Mut+ext")),0,ROUNDUP(I14/J14,0))</f>
        <v>0</v>
      </c>
      <c r="Q14" s="17">
        <f>IF(OR(G14="",K14="Mut+ext"),0,IF(VLOOKUP(G14,Paramétrage!$D$6:$F$27,3,0)=0,0,IF(J14="","saisir capacité",H14*P14*VLOOKUP(G14,Paramétrage!$D$6:$F$27,2,0))))</f>
        <v>0</v>
      </c>
      <c r="R14" s="33"/>
      <c r="S14" s="15">
        <f t="shared" si="4"/>
        <v>0</v>
      </c>
      <c r="T14" s="27">
        <f>IF(G14="",0,IF(ISERROR(R14+Q14*VLOOKUP(G14,Paramétrage!$D$6:$F$27,3,0))=TRUE,S14,R14+Q14*VLOOKUP(G14,Paramétrage!$D$6:$F$27,3,0)))</f>
        <v>0</v>
      </c>
      <c r="U14" s="37"/>
      <c r="V14" s="37"/>
      <c r="W14" s="37"/>
      <c r="X14" s="37"/>
      <c r="Y14" s="369">
        <f t="shared" si="2"/>
        <v>0</v>
      </c>
      <c r="Z14" s="476"/>
      <c r="AA14" s="474"/>
      <c r="AB14" s="475"/>
      <c r="AC14" s="26">
        <f>IF(B14="",0,IF(E14="",0,IF(SUMIF(B11:B29,B14,I11:I29)=0,0,IF(E14="Obligatoire",AD14/I14,IF(F14="",AD14/SUMIF(B11:B29,B14,I11:I29),AD14/(SUMIF(B11:B29,B14,I11:I29)/F14))))))</f>
        <v>0</v>
      </c>
      <c r="AD14" s="16">
        <f t="shared" si="5"/>
        <v>0</v>
      </c>
    </row>
    <row r="15" spans="1:30" x14ac:dyDescent="0.25">
      <c r="A15" s="506"/>
      <c r="B15" s="412">
        <v>1</v>
      </c>
      <c r="C15" s="413" t="s">
        <v>40</v>
      </c>
      <c r="D15" s="32" t="s">
        <v>33</v>
      </c>
      <c r="E15" s="49" t="s">
        <v>34</v>
      </c>
      <c r="F15" s="30"/>
      <c r="G15" s="31" t="s">
        <v>35</v>
      </c>
      <c r="H15" s="41">
        <v>9</v>
      </c>
      <c r="I15" s="383">
        <v>15</v>
      </c>
      <c r="J15" s="45">
        <v>15</v>
      </c>
      <c r="K15" s="34" t="s">
        <v>36</v>
      </c>
      <c r="L15" s="474"/>
      <c r="M15" s="474"/>
      <c r="N15" s="474"/>
      <c r="O15" s="475"/>
      <c r="P15" s="368">
        <f>IF(OR(J15="",G15=Paramétrage!$D$9,G15=Paramétrage!$D$12,G15=Paramétrage!$D$15,G15=Paramétrage!$D$18,G15=Paramétrage!$D$22,G15=Paramétrage!$D$25,AND(G15&lt;&gt;Paramétrage!$D$9,K15="Mut+ext")),0,ROUNDUP(I15/J15,0))</f>
        <v>1</v>
      </c>
      <c r="Q15" s="17">
        <f>IF(OR(G15="",K15="Mut+ext"),0,IF(VLOOKUP(G15,Paramétrage!$D$6:$F$27,3,0)=0,0,IF(J15="","saisir capacité",H15*P15*VLOOKUP(G15,Paramétrage!$D$6:$F$27,2,0))))</f>
        <v>9</v>
      </c>
      <c r="R15" s="33"/>
      <c r="S15" s="15">
        <f t="shared" si="4"/>
        <v>9</v>
      </c>
      <c r="T15" s="27">
        <f>IF(G15="",0,IF(ISERROR(R15+Q15*VLOOKUP(G15,Paramétrage!$D$6:$F$27,3,0))=TRUE,S15,R15+Q15*VLOOKUP(G15,Paramétrage!$D$6:$F$27,3,0)))</f>
        <v>13.5</v>
      </c>
      <c r="U15" s="37">
        <v>9</v>
      </c>
      <c r="V15" s="37"/>
      <c r="W15" s="37"/>
      <c r="X15" s="37"/>
      <c r="Y15" s="369">
        <f t="shared" si="2"/>
        <v>9</v>
      </c>
      <c r="Z15" s="476"/>
      <c r="AA15" s="474"/>
      <c r="AB15" s="475"/>
      <c r="AC15" s="26">
        <f>IF(B15="",0,IF(E15="",0,IF(SUMIF(B12:B30,B15,I12:I30)=0,0,IF(E15="Obligatoire",AD15/I15,IF(F15="",AD15/SUMIF(B12:B30,B15,I12:I30),AD15/(SUMIF(B12:B30,B15,I12:I30)/F15))))))</f>
        <v>9</v>
      </c>
      <c r="AD15" s="16">
        <f t="shared" si="5"/>
        <v>135</v>
      </c>
    </row>
    <row r="16" spans="1:30" x14ac:dyDescent="0.25">
      <c r="A16" s="506"/>
      <c r="B16" s="412">
        <v>2</v>
      </c>
      <c r="C16" s="413" t="s">
        <v>40</v>
      </c>
      <c r="D16" s="32" t="s">
        <v>33</v>
      </c>
      <c r="E16" s="49" t="s">
        <v>34</v>
      </c>
      <c r="F16" s="30"/>
      <c r="G16" s="31" t="s">
        <v>37</v>
      </c>
      <c r="H16" s="41">
        <v>9</v>
      </c>
      <c r="I16" s="383">
        <v>15</v>
      </c>
      <c r="J16" s="45">
        <v>15</v>
      </c>
      <c r="K16" s="34" t="s">
        <v>36</v>
      </c>
      <c r="L16" s="474"/>
      <c r="M16" s="474"/>
      <c r="N16" s="474"/>
      <c r="O16" s="475"/>
      <c r="P16" s="368">
        <f>IF(OR(J16="",G16=Paramétrage!$D$9,G16=Paramétrage!$D$12,G16=Paramétrage!$D$15,G16=Paramétrage!$D$18,G16=Paramétrage!$D$22,G16=Paramétrage!$D$25,AND(G16&lt;&gt;Paramétrage!$D$9,K16="Mut+ext")),0,ROUNDUP(I16/J16,0))</f>
        <v>1</v>
      </c>
      <c r="Q16" s="17">
        <f>IF(OR(G16="",K16="Mut+ext"),0,IF(VLOOKUP(G16,Paramétrage!$D$6:$F$27,3,0)=0,0,IF(J16="","saisir capacité",H16*P16*VLOOKUP(G16,Paramétrage!$D$6:$F$27,2,0))))</f>
        <v>9</v>
      </c>
      <c r="R16" s="33"/>
      <c r="S16" s="15">
        <f t="shared" si="4"/>
        <v>9</v>
      </c>
      <c r="T16" s="27">
        <f>IF(G16="",0,IF(ISERROR(R16+Q16*VLOOKUP(G16,Paramétrage!$D$6:$F$27,3,0))=TRUE,S16,R16+Q16*VLOOKUP(G16,Paramétrage!$D$6:$F$27,3,0)))</f>
        <v>9</v>
      </c>
      <c r="U16" s="37">
        <v>9</v>
      </c>
      <c r="V16" s="37"/>
      <c r="W16" s="37"/>
      <c r="X16" s="37"/>
      <c r="Y16" s="369">
        <f t="shared" si="2"/>
        <v>9</v>
      </c>
      <c r="Z16" s="476"/>
      <c r="AA16" s="474"/>
      <c r="AB16" s="475"/>
      <c r="AC16" s="26">
        <f>IF(B16="",0,IF(E16="",0,IF(SUMIF(B13:B38,B16,I13:I38)=0,0,IF(E16="Obligatoire",AD16/I16,IF(F16="",AD16/SUMIF(B13:B38,B16,I13:I38),AD16/(SUMIF(B13:B38,B16,I13:I38)/F16))))))</f>
        <v>9</v>
      </c>
      <c r="AD16" s="16">
        <f t="shared" si="5"/>
        <v>135</v>
      </c>
    </row>
    <row r="17" spans="1:30" x14ac:dyDescent="0.25">
      <c r="A17" s="506"/>
      <c r="B17" s="412">
        <v>3</v>
      </c>
      <c r="C17" s="413" t="s">
        <v>41</v>
      </c>
      <c r="D17" s="32" t="s">
        <v>33</v>
      </c>
      <c r="E17" s="49" t="s">
        <v>34</v>
      </c>
      <c r="F17" s="30"/>
      <c r="G17" s="31" t="s">
        <v>35</v>
      </c>
      <c r="H17" s="41">
        <v>21</v>
      </c>
      <c r="I17" s="383">
        <v>15</v>
      </c>
      <c r="J17" s="45">
        <v>15</v>
      </c>
      <c r="K17" s="34" t="s">
        <v>36</v>
      </c>
      <c r="L17" s="474"/>
      <c r="M17" s="474"/>
      <c r="N17" s="474"/>
      <c r="O17" s="475"/>
      <c r="P17" s="368">
        <f>IF(OR(J17="",G17=Paramétrage!$D$9,G17=Paramétrage!$D$12,G17=Paramétrage!$D$15,G17=Paramétrage!$D$18,G17=Paramétrage!$D$22,G17=Paramétrage!$D$25,AND(G17&lt;&gt;Paramétrage!$D$9,K17="Mut+ext")),0,ROUNDUP(I17/J17,0))</f>
        <v>1</v>
      </c>
      <c r="Q17" s="17">
        <f>IF(OR(G17="",K17="Mut+ext"),0,IF(VLOOKUP(G17,Paramétrage!$D$6:$F$27,3,0)=0,0,IF(J17="","saisir capacité",H17*P17*VLOOKUP(G17,Paramétrage!$D$6:$F$27,2,0))))</f>
        <v>21</v>
      </c>
      <c r="R17" s="33"/>
      <c r="S17" s="15">
        <f t="shared" si="4"/>
        <v>21</v>
      </c>
      <c r="T17" s="27">
        <f>IF(G17="",0,IF(ISERROR(R17+Q17*VLOOKUP(G17,Paramétrage!$D$6:$F$27,3,0))=TRUE,S17,R17+Q17*VLOOKUP(G17,Paramétrage!$D$6:$F$27,3,0)))</f>
        <v>31.5</v>
      </c>
      <c r="U17" s="37"/>
      <c r="V17" s="37"/>
      <c r="W17" s="37">
        <v>21</v>
      </c>
      <c r="X17" s="37"/>
      <c r="Y17" s="369">
        <f t="shared" si="2"/>
        <v>21</v>
      </c>
      <c r="Z17" s="476"/>
      <c r="AA17" s="474"/>
      <c r="AB17" s="475"/>
      <c r="AC17" s="26">
        <f>IF(B17="",0,IF(E17="",0,IF(SUMIF(B11:B29,B17,I11:I29)=0,0,IF(E17="Obligatoire",AD17/I17,IF(F17="",AD17/SUMIF(B11:B29,B17,I11:I29),AD17/(SUMIF(B11:B29,B17,I11:I29)/F17))))))</f>
        <v>21</v>
      </c>
      <c r="AD17" s="16">
        <f t="shared" si="5"/>
        <v>315</v>
      </c>
    </row>
    <row r="18" spans="1:30" x14ac:dyDescent="0.25">
      <c r="A18" s="506"/>
      <c r="B18" s="412">
        <v>4</v>
      </c>
      <c r="C18" s="413" t="s">
        <v>41</v>
      </c>
      <c r="D18" s="32" t="s">
        <v>33</v>
      </c>
      <c r="E18" s="49" t="s">
        <v>34</v>
      </c>
      <c r="F18" s="30"/>
      <c r="G18" s="31" t="s">
        <v>37</v>
      </c>
      <c r="H18" s="41">
        <v>42</v>
      </c>
      <c r="I18" s="383">
        <v>15</v>
      </c>
      <c r="J18" s="45">
        <v>15</v>
      </c>
      <c r="K18" s="34" t="s">
        <v>36</v>
      </c>
      <c r="L18" s="474"/>
      <c r="M18" s="474"/>
      <c r="N18" s="474"/>
      <c r="O18" s="475"/>
      <c r="P18" s="368">
        <f>IF(OR(J18="",G18=Paramétrage!$D$9,G18=Paramétrage!$D$12,G18=Paramétrage!$D$15,G18=Paramétrage!$D$18,G18=Paramétrage!$D$22,G18=Paramétrage!$D$25,AND(G18&lt;&gt;Paramétrage!$D$9,K18="Mut+ext")),0,ROUNDUP(I18/J18,0))</f>
        <v>1</v>
      </c>
      <c r="Q18" s="17">
        <f>IF(OR(G18="",K18="Mut+ext"),0,IF(VLOOKUP(G18,Paramétrage!$D$6:$F$27,3,0)=0,0,IF(J18="","saisir capacité",H18*P18*VLOOKUP(G18,Paramétrage!$D$6:$F$27,2,0))))</f>
        <v>42</v>
      </c>
      <c r="R18" s="33"/>
      <c r="S18" s="15">
        <f t="shared" si="4"/>
        <v>42</v>
      </c>
      <c r="T18" s="27">
        <f>IF(G18="",0,IF(ISERROR(R18+Q18*VLOOKUP(G18,Paramétrage!$D$6:$F$27,3,0))=TRUE,S18,R18+Q18*VLOOKUP(G18,Paramétrage!$D$6:$F$27,3,0)))</f>
        <v>42</v>
      </c>
      <c r="U18" s="37"/>
      <c r="V18" s="37"/>
      <c r="W18" s="37">
        <v>42</v>
      </c>
      <c r="X18" s="37"/>
      <c r="Y18" s="369">
        <f t="shared" si="2"/>
        <v>42</v>
      </c>
      <c r="Z18" s="476"/>
      <c r="AA18" s="474"/>
      <c r="AB18" s="475"/>
      <c r="AC18" s="26">
        <f>IF(B18="",0,IF(E18="",0,IF(SUMIF(B12:B42,B18,I12:I42)=0,0,IF(E18="Obligatoire",AD18/I18,IF(F18="",AD18/SUMIF(B12:B42,B18,I12:I42),AD18/(SUMIF(B12:B42,B18,I12:I42)/F18))))))</f>
        <v>42</v>
      </c>
      <c r="AD18" s="16">
        <f t="shared" si="5"/>
        <v>630</v>
      </c>
    </row>
    <row r="19" spans="1:30" x14ac:dyDescent="0.25">
      <c r="A19" s="506"/>
      <c r="B19" s="412">
        <v>5</v>
      </c>
      <c r="C19" s="424" t="s">
        <v>42</v>
      </c>
      <c r="D19" s="32" t="s">
        <v>33</v>
      </c>
      <c r="E19" s="49" t="s">
        <v>34</v>
      </c>
      <c r="F19" s="30"/>
      <c r="G19" s="31" t="s">
        <v>37</v>
      </c>
      <c r="H19" s="41">
        <v>24</v>
      </c>
      <c r="I19" s="383">
        <v>15</v>
      </c>
      <c r="J19" s="45">
        <v>8</v>
      </c>
      <c r="K19" s="34" t="s">
        <v>36</v>
      </c>
      <c r="L19" s="474"/>
      <c r="M19" s="474"/>
      <c r="N19" s="474"/>
      <c r="O19" s="475"/>
      <c r="P19" s="368">
        <f>IF(OR(J19="",G19=Paramétrage!$D$9,G19=Paramétrage!$D$12,G19=Paramétrage!$D$15,G19=Paramétrage!$D$18,G19=Paramétrage!$D$22,G19=Paramétrage!$D$25,AND(G19&lt;&gt;Paramétrage!$D$9,K19="Mut+ext")),0,ROUNDUP(I19/J19,0))</f>
        <v>2</v>
      </c>
      <c r="Q19" s="17">
        <f>IF(OR(G19="",K19="Mut+ext"),0,IF(VLOOKUP(G19,Paramétrage!$D$6:$F$27,3,0)=0,0,IF(J19="","saisir capacité",H19*P19*VLOOKUP(G19,Paramétrage!$D$6:$F$27,2,0))))</f>
        <v>48</v>
      </c>
      <c r="R19" s="33"/>
      <c r="S19" s="15">
        <f t="shared" si="4"/>
        <v>48</v>
      </c>
      <c r="T19" s="27">
        <f>IF(G19="",0,IF(ISERROR(R19+Q19*VLOOKUP(G19,Paramétrage!$D$6:$F$27,3,0))=TRUE,S19,R19+Q19*VLOOKUP(G19,Paramétrage!$D$6:$F$27,3,0)))</f>
        <v>48</v>
      </c>
      <c r="U19" s="37"/>
      <c r="V19" s="37"/>
      <c r="W19" s="37">
        <v>48</v>
      </c>
      <c r="X19" s="37"/>
      <c r="Y19" s="369">
        <f t="shared" si="2"/>
        <v>48</v>
      </c>
      <c r="Z19" s="476"/>
      <c r="AA19" s="474"/>
      <c r="AB19" s="475"/>
      <c r="AC19" s="26">
        <f>IF(B19="",0,IF(E19="",0,IF(SUMIF(B13:B43,B19,I13:I43)=0,0,IF(E19="Obligatoire",AD19/I19,IF(F19="",AD19/SUMIF(B13:B43,B19,I13:I43),AD19/(SUMIF(B13:B43,B19,I13:I43)/F19))))))</f>
        <v>24</v>
      </c>
      <c r="AD19" s="16">
        <f t="shared" si="5"/>
        <v>360</v>
      </c>
    </row>
    <row r="20" spans="1:30" x14ac:dyDescent="0.25">
      <c r="A20" s="506"/>
      <c r="B20" s="412">
        <v>6</v>
      </c>
      <c r="C20" s="413" t="s">
        <v>43</v>
      </c>
      <c r="D20" s="32" t="s">
        <v>33</v>
      </c>
      <c r="E20" s="49" t="s">
        <v>34</v>
      </c>
      <c r="F20" s="30"/>
      <c r="G20" s="31" t="s">
        <v>35</v>
      </c>
      <c r="H20" s="41">
        <v>13</v>
      </c>
      <c r="I20" s="383">
        <v>15</v>
      </c>
      <c r="J20" s="45">
        <v>15</v>
      </c>
      <c r="K20" s="34" t="s">
        <v>36</v>
      </c>
      <c r="L20" s="474"/>
      <c r="M20" s="474"/>
      <c r="N20" s="474"/>
      <c r="O20" s="475"/>
      <c r="P20" s="368">
        <f>IF(OR(J20="",G20=Paramétrage!$D$9,G20=Paramétrage!$D$12,G20=Paramétrage!$D$15,G20=Paramétrage!$D$18,G20=Paramétrage!$D$22,G20=Paramétrage!$D$25,AND(G20&lt;&gt;Paramétrage!$D$9,K20="Mut+ext")),0,ROUNDUP(I20/J20,0))</f>
        <v>1</v>
      </c>
      <c r="Q20" s="17">
        <f>IF(OR(G20="",K20="Mut+ext"),0,IF(VLOOKUP(G20,Paramétrage!$D$6:$F$27,3,0)=0,0,IF(J20="","saisir capacité",H20*P20*VLOOKUP(G20,Paramétrage!$D$6:$F$27,2,0))))</f>
        <v>13</v>
      </c>
      <c r="R20" s="33"/>
      <c r="S20" s="15">
        <f t="shared" si="4"/>
        <v>13</v>
      </c>
      <c r="T20" s="27">
        <f>IF(G20="",0,IF(ISERROR(R20+Q20*VLOOKUP(G20,Paramétrage!$D$6:$F$27,3,0))=TRUE,S20,R20+Q20*VLOOKUP(G20,Paramétrage!$D$6:$F$27,3,0)))</f>
        <v>19.5</v>
      </c>
      <c r="U20" s="37">
        <v>13</v>
      </c>
      <c r="V20" s="37"/>
      <c r="W20" s="37"/>
      <c r="X20" s="37"/>
      <c r="Y20" s="369">
        <f t="shared" si="2"/>
        <v>13</v>
      </c>
      <c r="Z20" s="476"/>
      <c r="AA20" s="474"/>
      <c r="AB20" s="475"/>
      <c r="AC20" s="26">
        <f>IF(B20="",0,IF(E20="",0,IF(SUMIF(B17:B44,B20,I17:I44)=0,0,IF(E20="Obligatoire",AD20/I20,IF(F20="",AD20/SUMIF(B17:B44,B20,I17:I44),AD20/(SUMIF(B17:B44,B20,I17:I44)/F20))))))</f>
        <v>13</v>
      </c>
      <c r="AD20" s="16">
        <f t="shared" si="5"/>
        <v>195</v>
      </c>
    </row>
    <row r="21" spans="1:30" x14ac:dyDescent="0.25">
      <c r="A21" s="506"/>
      <c r="B21" s="412"/>
      <c r="C21" s="413"/>
      <c r="D21" s="32" t="s">
        <v>33</v>
      </c>
      <c r="E21" s="49"/>
      <c r="F21" s="30"/>
      <c r="G21" s="31"/>
      <c r="H21" s="41"/>
      <c r="I21" s="383"/>
      <c r="J21" s="45"/>
      <c r="K21" s="34"/>
      <c r="L21" s="474"/>
      <c r="M21" s="474"/>
      <c r="N21" s="474"/>
      <c r="O21" s="475"/>
      <c r="P21" s="368">
        <f>IF(OR(J21="",G21=Paramétrage!$D$9,G21=Paramétrage!$D$12,G21=Paramétrage!$D$15,G21=Paramétrage!$D$18,G21=Paramétrage!$D$22,G21=Paramétrage!$D$25,AND(G21&lt;&gt;Paramétrage!$D$9,K21="Mut+ext")),0,ROUNDUP(I21/J21,0))</f>
        <v>0</v>
      </c>
      <c r="Q21" s="17">
        <f>IF(OR(G21="",K21="Mut+ext"),0,IF(VLOOKUP(G21,Paramétrage!$D$6:$F$27,3,0)=0,0,IF(J21="","saisir capacité",H21*P21*VLOOKUP(G21,Paramétrage!$D$6:$F$27,2,0))))</f>
        <v>0</v>
      </c>
      <c r="R21" s="33"/>
      <c r="S21" s="15">
        <f t="shared" si="4"/>
        <v>0</v>
      </c>
      <c r="T21" s="27">
        <f>IF(G21="",0,IF(ISERROR(R21+Q21*VLOOKUP(G21,Paramétrage!$D$6:$F$27,3,0))=TRUE,S21,R21+Q21*VLOOKUP(G21,Paramétrage!$D$6:$F$27,3,0)))</f>
        <v>0</v>
      </c>
      <c r="U21" s="37"/>
      <c r="V21" s="37"/>
      <c r="W21" s="37">
        <v>21</v>
      </c>
      <c r="X21" s="37"/>
      <c r="Y21" s="369">
        <f t="shared" si="2"/>
        <v>21</v>
      </c>
      <c r="Z21" s="476"/>
      <c r="AA21" s="474"/>
      <c r="AB21" s="475"/>
      <c r="AC21" s="26">
        <f>IF(B21="",0,IF(E21="",0,IF(SUMIF(B18:B45,B21,I18:I45)=0,0,IF(E21="Obligatoire",AD21/I21,IF(F21="",AD21/SUMIF(B18:B45,B21,I18:I45),AD21/(SUMIF(B18:B45,B21,I18:I45)/F21))))))</f>
        <v>0</v>
      </c>
      <c r="AD21" s="16">
        <f t="shared" si="5"/>
        <v>0</v>
      </c>
    </row>
    <row r="22" spans="1:30" x14ac:dyDescent="0.3">
      <c r="A22" s="506"/>
      <c r="B22" s="414" t="s">
        <v>44</v>
      </c>
      <c r="C22" s="415"/>
      <c r="D22" s="32"/>
      <c r="E22" s="49"/>
      <c r="F22" s="30"/>
      <c r="G22" s="31"/>
      <c r="H22" s="41"/>
      <c r="I22" s="383"/>
      <c r="J22" s="45"/>
      <c r="K22" s="34"/>
      <c r="L22" s="474"/>
      <c r="M22" s="474"/>
      <c r="N22" s="474"/>
      <c r="O22" s="475"/>
      <c r="P22" s="368">
        <f>IF(OR(J22="",G22=Paramétrage!$D$9,G22=Paramétrage!$D$12,G22=Paramétrage!$D$15,G22=Paramétrage!$D$18,G22=Paramétrage!$D$22,G22=Paramétrage!$D$25,AND(G22&lt;&gt;Paramétrage!$D$9,K22="Mut+ext")),0,ROUNDUP(I22/J22,0))</f>
        <v>0</v>
      </c>
      <c r="Q22" s="17">
        <f>IF(OR(G22="",K22="Mut+ext"),0,IF(VLOOKUP(G22,Paramétrage!$D$6:$F$27,3,0)=0,0,IF(J22="","saisir capacité",H22*P22*VLOOKUP(G22,Paramétrage!$D$6:$F$27,2,0))))</f>
        <v>0</v>
      </c>
      <c r="R22" s="33"/>
      <c r="S22" s="15">
        <f t="shared" si="4"/>
        <v>0</v>
      </c>
      <c r="T22" s="27">
        <f>IF(G22="",0,IF(ISERROR(R22+Q22*VLOOKUP(G22,Paramétrage!$D$6:$F$27,3,0))=TRUE,S22,R22+Q22*VLOOKUP(G22,Paramétrage!$D$6:$F$27,3,0)))</f>
        <v>0</v>
      </c>
      <c r="U22" s="37"/>
      <c r="V22" s="37"/>
      <c r="W22" s="37"/>
      <c r="X22" s="37"/>
      <c r="Y22" s="369">
        <f t="shared" si="2"/>
        <v>0</v>
      </c>
      <c r="Z22" s="476"/>
      <c r="AA22" s="474"/>
      <c r="AB22" s="475"/>
      <c r="AC22" s="26">
        <f>IF(B22="",0,IF(E22="",0,IF(SUMIF(B19:B46,B22,I19:I46)=0,0,IF(E22="Obligatoire",AD22/I22,IF(F22="",AD22/SUMIF(B19:B46,B22,I19:I46),AD22/(SUMIF(B19:B46,B22,I19:I46)/F22))))))</f>
        <v>0</v>
      </c>
      <c r="AD22" s="16">
        <f t="shared" si="5"/>
        <v>0</v>
      </c>
    </row>
    <row r="23" spans="1:30" x14ac:dyDescent="0.25">
      <c r="A23" s="506"/>
      <c r="B23" s="412">
        <v>1</v>
      </c>
      <c r="C23" s="413" t="s">
        <v>45</v>
      </c>
      <c r="D23" s="32" t="s">
        <v>33</v>
      </c>
      <c r="E23" s="49" t="s">
        <v>34</v>
      </c>
      <c r="F23" s="30"/>
      <c r="G23" s="31" t="s">
        <v>35</v>
      </c>
      <c r="H23" s="41">
        <v>15</v>
      </c>
      <c r="I23" s="383">
        <v>15</v>
      </c>
      <c r="J23" s="45">
        <v>15</v>
      </c>
      <c r="K23" s="34" t="s">
        <v>36</v>
      </c>
      <c r="L23" s="474"/>
      <c r="M23" s="474"/>
      <c r="N23" s="474"/>
      <c r="O23" s="475"/>
      <c r="P23" s="368">
        <f>IF(OR(J23="",G23=Paramétrage!$D$9,G23=Paramétrage!$D$12,G23=Paramétrage!$D$15,G23=Paramétrage!$D$18,G23=Paramétrage!$D$22,G23=Paramétrage!$D$25,AND(G23&lt;&gt;Paramétrage!$D$9,K23="Mut+ext")),0,ROUNDUP(I23/J23,0))</f>
        <v>1</v>
      </c>
      <c r="Q23" s="17">
        <f>IF(OR(G23="",K23="Mut+ext"),0,IF(VLOOKUP(G23,Paramétrage!$D$6:$F$27,3,0)=0,0,IF(J23="","saisir capacité",H23*P23*VLOOKUP(G23,Paramétrage!$D$6:$F$27,2,0))))</f>
        <v>15</v>
      </c>
      <c r="R23" s="33"/>
      <c r="S23" s="15">
        <f t="shared" si="4"/>
        <v>15</v>
      </c>
      <c r="T23" s="27">
        <f>IF(G23="",0,IF(ISERROR(R23+Q23*VLOOKUP(G23,Paramétrage!$D$6:$F$27,3,0))=TRUE,S23,R23+Q23*VLOOKUP(G23,Paramétrage!$D$6:$F$27,3,0)))</f>
        <v>22.5</v>
      </c>
      <c r="U23" s="37"/>
      <c r="V23" s="37"/>
      <c r="W23" s="37">
        <v>15</v>
      </c>
      <c r="X23" s="37"/>
      <c r="Y23" s="369">
        <f t="shared" si="2"/>
        <v>15</v>
      </c>
      <c r="Z23" s="476"/>
      <c r="AA23" s="474"/>
      <c r="AB23" s="475"/>
      <c r="AC23" s="26">
        <f>IF(B23="",0,IF(E23="",0,IF(SUMIF(B20:B47,B23,I20:I47)=0,0,IF(E23="Obligatoire",AD23/I23,IF(F23="",AD23/SUMIF(B20:B47,B23,I20:I47),AD23/(SUMIF(B20:B47,B23,I20:I47)/F23))))))</f>
        <v>15</v>
      </c>
      <c r="AD23" s="16">
        <f t="shared" si="5"/>
        <v>225</v>
      </c>
    </row>
    <row r="24" spans="1:30" ht="15.6" customHeight="1" x14ac:dyDescent="0.25">
      <c r="A24" s="506"/>
      <c r="B24" s="54">
        <v>2</v>
      </c>
      <c r="C24" s="413" t="s">
        <v>45</v>
      </c>
      <c r="D24" s="32" t="s">
        <v>33</v>
      </c>
      <c r="E24" s="49" t="s">
        <v>34</v>
      </c>
      <c r="F24" s="30"/>
      <c r="G24" s="31" t="s">
        <v>37</v>
      </c>
      <c r="H24" s="41">
        <v>8</v>
      </c>
      <c r="I24" s="383">
        <v>15</v>
      </c>
      <c r="J24" s="45">
        <v>15</v>
      </c>
      <c r="K24" s="34" t="s">
        <v>36</v>
      </c>
      <c r="L24" s="474"/>
      <c r="M24" s="474"/>
      <c r="N24" s="474"/>
      <c r="O24" s="475"/>
      <c r="P24" s="368">
        <f>IF(OR(J24="",G24=Paramétrage!$D$9,G24=Paramétrage!$D$12,G24=Paramétrage!$D$15,G24=Paramétrage!$D$18,G24=Paramétrage!$D$22,G24=Paramétrage!$D$25,AND(G24&lt;&gt;Paramétrage!$D$9,K24="Mut+ext")),0,ROUNDUP(I24/J24,0))</f>
        <v>1</v>
      </c>
      <c r="Q24" s="17">
        <f>IF(OR(G24="",K24="Mut+ext"),0,IF(VLOOKUP(G24,Paramétrage!$D$6:$F$27,3,0)=0,0,IF(J24="","saisir capacité",H24*P24*VLOOKUP(G24,Paramétrage!$D$6:$F$27,2,0))))</f>
        <v>8</v>
      </c>
      <c r="R24" s="33"/>
      <c r="S24" s="15">
        <f t="shared" si="4"/>
        <v>8</v>
      </c>
      <c r="T24" s="27">
        <f>IF(G24="",0,IF(ISERROR(R24+Q24*VLOOKUP(G24,Paramétrage!$D$6:$F$27,3,0))=TRUE,S24,R24+Q24*VLOOKUP(G24,Paramétrage!$D$6:$F$27,3,0)))</f>
        <v>8</v>
      </c>
      <c r="U24" s="37"/>
      <c r="V24" s="37"/>
      <c r="W24" s="37">
        <v>8</v>
      </c>
      <c r="X24" s="37"/>
      <c r="Y24" s="369">
        <f t="shared" si="2"/>
        <v>8</v>
      </c>
      <c r="Z24" s="476"/>
      <c r="AA24" s="474"/>
      <c r="AB24" s="475"/>
      <c r="AC24" s="26">
        <f>IF(B24="",0,IF(E24="",0,IF(SUMIF(B8:B27,B24,I8:I27)=0,0,IF(E24="Obligatoire",AD24/I24,IF(F24="",AD24/SUMIF(B8:B27,B24,I8:I27),AD24/(SUMIF(B8:B27,B24,I8:I27)/F24))))))</f>
        <v>8</v>
      </c>
      <c r="AD24" s="16">
        <f t="shared" si="5"/>
        <v>120</v>
      </c>
    </row>
    <row r="25" spans="1:30" x14ac:dyDescent="0.25">
      <c r="A25" s="506"/>
      <c r="B25" s="416" t="s">
        <v>46</v>
      </c>
      <c r="C25" s="423"/>
      <c r="D25" s="32"/>
      <c r="E25" s="49"/>
      <c r="F25" s="30"/>
      <c r="G25" s="31"/>
      <c r="H25" s="41"/>
      <c r="I25" s="37"/>
      <c r="J25" s="45"/>
      <c r="K25" s="34"/>
      <c r="L25" s="474"/>
      <c r="M25" s="474"/>
      <c r="N25" s="474"/>
      <c r="O25" s="475"/>
      <c r="P25" s="368">
        <f>IF(OR(J25="",G25=Paramétrage!$D$9,G25=Paramétrage!$D$12,G25=Paramétrage!$D$15,G25=Paramétrage!$D$18,G25=Paramétrage!$D$22,G25=Paramétrage!$D$25,AND(G25&lt;&gt;Paramétrage!$D$9,K25="Mut+ext")),0,ROUNDUP(I25/J25,0))</f>
        <v>0</v>
      </c>
      <c r="Q25" s="17">
        <f>IF(OR(G25="",K25="Mut+ext"),0,IF(VLOOKUP(G25,Paramétrage!$D$6:$F$27,3,0)=0,0,IF(J25="","saisir capacité",H25*P25*VLOOKUP(G25,Paramétrage!$D$6:$F$27,2,0))))</f>
        <v>0</v>
      </c>
      <c r="R25" s="33"/>
      <c r="S25" s="15">
        <f t="shared" si="4"/>
        <v>0</v>
      </c>
      <c r="T25" s="27">
        <f>IF(G25="",0,IF(ISERROR(R25+Q25*VLOOKUP(G25,Paramétrage!$D$6:$F$27,3,0))=TRUE,S25,R25+Q25*VLOOKUP(G25,Paramétrage!$D$6:$F$27,3,0)))</f>
        <v>0</v>
      </c>
      <c r="U25" s="37"/>
      <c r="V25" s="39"/>
      <c r="W25" s="39"/>
      <c r="X25" s="39"/>
      <c r="Y25" s="369">
        <f t="shared" si="2"/>
        <v>0</v>
      </c>
      <c r="Z25" s="476"/>
      <c r="AA25" s="474"/>
      <c r="AB25" s="475"/>
      <c r="AC25" s="26">
        <f>IF(B25="",0,IF(E25="",0,IF(SUMIF(B8:B27,B25,I8:I27)=0,0,IF(E25="Obligatoire",AD25/I25,IF(F25="",AD25/SUMIF(B8:B27,B25,I8:I27),AD25/(SUMIF(B8:B27,B25,I8:I27)/F25))))))</f>
        <v>0</v>
      </c>
      <c r="AD25" s="16">
        <f t="shared" si="5"/>
        <v>0</v>
      </c>
    </row>
    <row r="26" spans="1:30" x14ac:dyDescent="0.25">
      <c r="A26" s="506"/>
      <c r="B26" s="417">
        <v>1</v>
      </c>
      <c r="C26" s="431" t="s">
        <v>47</v>
      </c>
      <c r="D26" s="32" t="s">
        <v>33</v>
      </c>
      <c r="E26" s="49" t="s">
        <v>34</v>
      </c>
      <c r="F26" s="30"/>
      <c r="G26" s="31" t="s">
        <v>35</v>
      </c>
      <c r="H26" s="41">
        <v>12</v>
      </c>
      <c r="I26" s="383">
        <v>15</v>
      </c>
      <c r="J26" s="45">
        <v>15</v>
      </c>
      <c r="K26" s="34" t="s">
        <v>36</v>
      </c>
      <c r="L26" s="474"/>
      <c r="M26" s="474"/>
      <c r="N26" s="474"/>
      <c r="O26" s="475"/>
      <c r="P26" s="368">
        <f>IF(OR(J26="",G26=Paramétrage!$D$9,G26=Paramétrage!$D$12,G26=Paramétrage!$D$15,G26=Paramétrage!$D$18,G26=Paramétrage!$D$22,G26=Paramétrage!$D$25,AND(G26&lt;&gt;Paramétrage!$D$9,K26="Mut+ext")),0,ROUNDUP(I26/J26,0))</f>
        <v>1</v>
      </c>
      <c r="Q26" s="17">
        <f>IF(OR(G26="",K26="Mut+ext"),0,IF(VLOOKUP(G26,Paramétrage!$D$6:$F$27,3,0)=0,0,IF(J26="","saisir capacité",H26*P26*VLOOKUP(G26,Paramétrage!$D$6:$F$27,2,0))))</f>
        <v>12</v>
      </c>
      <c r="R26" s="33"/>
      <c r="S26" s="15">
        <f t="shared" si="4"/>
        <v>12</v>
      </c>
      <c r="T26" s="27">
        <f>IF(G26="",0,IF(ISERROR(R26+Q26*VLOOKUP(G26,Paramétrage!$D$6:$F$27,3,0))=TRUE,S26,R26+Q26*VLOOKUP(G26,Paramétrage!$D$6:$F$27,3,0)))</f>
        <v>18</v>
      </c>
      <c r="U26" s="37">
        <v>12</v>
      </c>
      <c r="V26" s="38"/>
      <c r="W26" s="38"/>
      <c r="X26" s="38"/>
      <c r="Y26" s="369">
        <f t="shared" si="2"/>
        <v>12</v>
      </c>
      <c r="Z26" s="476"/>
      <c r="AA26" s="474"/>
      <c r="AB26" s="475"/>
      <c r="AC26" s="26">
        <f>IF(B26="",0,IF(E26="",0,IF(SUMIF(B8:B27,B26,I8:I27)=0,0,IF(E26="Obligatoire",AD26/I26,IF(F26="",AD26/SUMIF(B8:B27,B26,I8:I27),AD26/(SUMIF(B8:B27,B26,I8:I27)/F26))))))</f>
        <v>12</v>
      </c>
      <c r="AD26" s="16">
        <f t="shared" si="5"/>
        <v>180</v>
      </c>
    </row>
    <row r="27" spans="1:30" ht="16.2" thickBot="1" x14ac:dyDescent="0.3">
      <c r="A27" s="506"/>
      <c r="B27" s="54">
        <v>2</v>
      </c>
      <c r="C27" s="418" t="s">
        <v>47</v>
      </c>
      <c r="D27" s="32" t="s">
        <v>33</v>
      </c>
      <c r="E27" s="49" t="s">
        <v>34</v>
      </c>
      <c r="F27" s="30"/>
      <c r="G27" s="31" t="s">
        <v>37</v>
      </c>
      <c r="H27" s="41">
        <v>9</v>
      </c>
      <c r="I27" s="39">
        <v>15</v>
      </c>
      <c r="J27" s="45">
        <v>15</v>
      </c>
      <c r="K27" s="34" t="s">
        <v>36</v>
      </c>
      <c r="L27" s="474"/>
      <c r="M27" s="474"/>
      <c r="N27" s="474"/>
      <c r="O27" s="475"/>
      <c r="P27" s="368">
        <f>IF(OR(J27="",G27=Paramétrage!$D$9,G27=Paramétrage!$D$12,G27=Paramétrage!$D$15,G27=Paramétrage!$D$18,G27=Paramétrage!$D$22,G27=Paramétrage!$D$25,AND(G27&lt;&gt;Paramétrage!$D$9,K27="Mut+ext")),0,ROUNDUP(I27/J27,0))</f>
        <v>1</v>
      </c>
      <c r="Q27" s="17">
        <f>IF(OR(G27="",K27="Mut+ext"),0,IF(VLOOKUP(G27,Paramétrage!$D$6:$F$27,3,0)=0,0,IF(J27="","saisir capacité",H27*P27*VLOOKUP(G27,Paramétrage!$D$6:$F$27,2,0))))</f>
        <v>9</v>
      </c>
      <c r="R27" s="383"/>
      <c r="S27" s="384">
        <f t="shared" si="4"/>
        <v>9</v>
      </c>
      <c r="T27" s="385">
        <f>IF(G27="",0,IF(ISERROR(R27+Q27*VLOOKUP(G27,Paramétrage!$D$6:$F$27,3,0))=TRUE,S27,R27+Q27*VLOOKUP(G27,Paramétrage!$D$6:$F$27,3,0)))</f>
        <v>9</v>
      </c>
      <c r="U27" s="37">
        <v>9</v>
      </c>
      <c r="V27" s="38"/>
      <c r="W27" s="38"/>
      <c r="X27" s="38"/>
      <c r="Y27" s="386">
        <f t="shared" si="2"/>
        <v>9</v>
      </c>
      <c r="Z27" s="476"/>
      <c r="AA27" s="474"/>
      <c r="AB27" s="475"/>
      <c r="AC27" s="26">
        <f>IF(B27="",0,IF(E27="",0,IF(SUMIF(B8:B27,B27,I8:I27)=0,0,IF(E27="Obligatoire",AD27/I27,IF(F27="",AD27/SUMIF(B8:B27,B27,I8:I27),AD27/(SUMIF(B8:B27,B27,I8:I27)/F27))))))</f>
        <v>9</v>
      </c>
      <c r="AD27" s="16">
        <f t="shared" si="5"/>
        <v>135</v>
      </c>
    </row>
    <row r="28" spans="1:30" ht="15.6" customHeight="1" x14ac:dyDescent="0.25">
      <c r="A28" s="506"/>
      <c r="B28" s="419" t="s">
        <v>48</v>
      </c>
      <c r="C28" s="420"/>
      <c r="D28" s="29"/>
      <c r="E28" s="387"/>
      <c r="F28" s="30"/>
      <c r="G28" s="31"/>
      <c r="H28" s="388"/>
      <c r="I28" s="38"/>
      <c r="J28" s="45"/>
      <c r="K28" s="34"/>
      <c r="L28" s="480"/>
      <c r="M28" s="480"/>
      <c r="N28" s="480"/>
      <c r="O28" s="493"/>
      <c r="P28" s="378">
        <f>IF(OR(J28="",G28=Paramétrage!$D$9,G28=Paramétrage!$D$12,G28=Paramétrage!$D$15,G28=Paramétrage!$D$18,G28=Paramétrage!$D$22,G28=Paramétrage!$D$25,AND(G28&lt;&gt;Paramétrage!$D$9,K28="Mut+ext")),0,ROUNDUP(I28/J28,0))</f>
        <v>0</v>
      </c>
      <c r="Q28" s="17">
        <f>IF(OR(G28="",K28="Mut+ext"),0,IF(VLOOKUP(G28,Paramétrage!$D$6:$F$27,3,0)=0,0,IF(J28="","saisir capacité",H28*P28*VLOOKUP(G28,Paramétrage!$D$6:$F$27,2,0))))</f>
        <v>0</v>
      </c>
      <c r="R28" s="379"/>
      <c r="S28" s="15">
        <f t="shared" si="4"/>
        <v>0</v>
      </c>
      <c r="T28" s="27">
        <f>IF(G28="",0,IF(ISERROR(R28+Q28*VLOOKUP(G28,Paramétrage!$D$6:$F$27,3,0))=TRUE,S28,R28+Q28*VLOOKUP(G28,Paramétrage!$D$6:$F$27,3,0)))</f>
        <v>0</v>
      </c>
      <c r="U28" s="38"/>
      <c r="V28" s="37"/>
      <c r="W28" s="37"/>
      <c r="X28" s="37"/>
      <c r="Y28" s="369">
        <f>SUM(U28:X28)</f>
        <v>0</v>
      </c>
      <c r="Z28" s="479"/>
      <c r="AA28" s="480"/>
      <c r="AB28" s="493"/>
      <c r="AC28" s="60">
        <f>IF(B28="",0,IF(E28="",0,IF(SUMIF(B28:B47,B28,I28:I47)=0,0,IF(E28="Obligatoire",AD28/I28,IF(F28="",AD28/SUMIF(B28:B47,B28,I28:I47),AD28/(SUMIF(B28:B47,B28,I28:I47)/F28))))))</f>
        <v>0</v>
      </c>
      <c r="AD28" s="61">
        <f t="shared" si="5"/>
        <v>0</v>
      </c>
    </row>
    <row r="29" spans="1:30" s="452" customFormat="1" x14ac:dyDescent="0.25">
      <c r="A29" s="506"/>
      <c r="B29" s="454">
        <v>1</v>
      </c>
      <c r="C29" s="455" t="s">
        <v>49</v>
      </c>
      <c r="D29" s="456" t="s">
        <v>33</v>
      </c>
      <c r="E29" s="457" t="s">
        <v>34</v>
      </c>
      <c r="F29" s="458"/>
      <c r="G29" s="459" t="s">
        <v>50</v>
      </c>
      <c r="H29" s="460">
        <v>35</v>
      </c>
      <c r="I29" s="448">
        <v>15</v>
      </c>
      <c r="J29" s="441">
        <v>15</v>
      </c>
      <c r="K29" s="461" t="s">
        <v>36</v>
      </c>
      <c r="L29" s="482"/>
      <c r="M29" s="482"/>
      <c r="N29" s="482"/>
      <c r="O29" s="483"/>
      <c r="P29" s="443">
        <f>IF(OR(J29="",G29=Paramétrage!$D$9,G29=Paramétrage!$D$12,G29=Paramétrage!$D$15,G29=Paramétrage!$D$18,G29=Paramétrage!$D$22,G29=Paramétrage!$D$25,AND(G29&lt;&gt;Paramétrage!$D$9,K29="Mut+ext")),0,ROUNDUP(I29/J29,0))</f>
        <v>0</v>
      </c>
      <c r="Q29" s="444">
        <f>IF(OR(G29="",K29="Mut+ext"),0,IF(VLOOKUP(G29,Paramétrage!$D$6:$F$27,3,0)=0,0,IF(J29="","saisir capacité",H29*P29*VLOOKUP(G29,Paramétrage!$D$6:$F$27,2,0))))</f>
        <v>0</v>
      </c>
      <c r="R29" s="445">
        <v>21</v>
      </c>
      <c r="S29" s="446">
        <f t="shared" si="4"/>
        <v>21</v>
      </c>
      <c r="T29" s="447">
        <f>IF(G29="",0,IF(ISERROR(R29+Q29*VLOOKUP(G29,Paramétrage!$D$6:$F$27,3,0))=TRUE,S29,R29+Q29*VLOOKUP(G29,Paramétrage!$D$6:$F$27,3,0)))</f>
        <v>21</v>
      </c>
      <c r="U29" s="448"/>
      <c r="V29" s="448"/>
      <c r="W29" s="448">
        <v>21</v>
      </c>
      <c r="X29" s="448"/>
      <c r="Y29" s="449">
        <f t="shared" ref="Y29:Y47" si="6">SUM(U29:X29)</f>
        <v>21</v>
      </c>
      <c r="Z29" s="481"/>
      <c r="AA29" s="482"/>
      <c r="AB29" s="483"/>
      <c r="AC29" s="450">
        <f>IF(B29="",0,IF(E29="",0,IF(SUMIF(B28:B47,B29,I28:I47)=0,0,IF(E29="Obligatoire",AD29/I29,IF(F29="",AD29/SUMIF(B28:B47,B29,I28:I47),AD29/(SUMIF(B28:B47,B29,I28:I47)/F29))))))</f>
        <v>35</v>
      </c>
      <c r="AD29" s="451">
        <f t="shared" si="5"/>
        <v>525</v>
      </c>
    </row>
    <row r="30" spans="1:30" x14ac:dyDescent="0.25">
      <c r="A30" s="506"/>
      <c r="B30" s="54"/>
      <c r="C30" s="430"/>
      <c r="D30" s="32"/>
      <c r="E30" s="49"/>
      <c r="F30" s="30"/>
      <c r="G30" s="31"/>
      <c r="H30" s="41"/>
      <c r="I30" s="37"/>
      <c r="J30" s="45"/>
      <c r="K30" s="34"/>
      <c r="L30" s="474"/>
      <c r="M30" s="474"/>
      <c r="N30" s="474"/>
      <c r="O30" s="475"/>
      <c r="P30" s="368">
        <f>IF(OR(J30="",G30=Paramétrage!$D$9,G30=Paramétrage!$D$12,G30=Paramétrage!$D$15,G30=Paramétrage!$D$18,G30=Paramétrage!$D$22,G30=Paramétrage!$D$25,AND(G30&lt;&gt;Paramétrage!$D$9,K30="Mut+ext")),0,ROUNDUP(I30/J30,0))</f>
        <v>0</v>
      </c>
      <c r="Q30" s="17">
        <f>IF(OR(G30="",K30="Mut+ext"),0,IF(VLOOKUP(G30,Paramétrage!$D$6:$F$27,3,0)=0,0,IF(J30="","saisir capacité",H30*P30*VLOOKUP(G30,Paramétrage!$D$6:$F$27,2,0))))</f>
        <v>0</v>
      </c>
      <c r="R30" s="33"/>
      <c r="S30" s="15">
        <f t="shared" si="4"/>
        <v>0</v>
      </c>
      <c r="T30" s="27">
        <f>IF(G30="",0,IF(ISERROR(R30+Q30*VLOOKUP(G30,Paramétrage!$D$6:$F$27,3,0))=TRUE,S30,R30+Q30*VLOOKUP(G30,Paramétrage!$D$6:$F$27,3,0)))</f>
        <v>0</v>
      </c>
      <c r="U30" s="37"/>
      <c r="V30" s="37"/>
      <c r="W30" s="37"/>
      <c r="X30" s="37"/>
      <c r="Y30" s="369">
        <f t="shared" si="6"/>
        <v>0</v>
      </c>
      <c r="Z30" s="476"/>
      <c r="AA30" s="474"/>
      <c r="AB30" s="475"/>
      <c r="AC30" s="26">
        <f>IF(B30="",0,IF(E30="",0,IF(SUMIF(B29:B48,B30,I29:I48)=0,0,IF(E30="Obligatoire",AD30/I30,IF(F30="",AD30/SUMIF(B29:B48,B30,I29:I48),AD30/(SUMIF(B29:B48,B30,I29:I48)/F30))))))</f>
        <v>0</v>
      </c>
      <c r="AD30" s="16">
        <f t="shared" si="5"/>
        <v>0</v>
      </c>
    </row>
    <row r="31" spans="1:30" x14ac:dyDescent="0.25">
      <c r="A31" s="506"/>
      <c r="B31" s="54"/>
      <c r="C31" s="29"/>
      <c r="D31" s="32"/>
      <c r="E31" s="49"/>
      <c r="F31" s="30"/>
      <c r="G31" s="31"/>
      <c r="H31" s="41"/>
      <c r="I31" s="37"/>
      <c r="J31" s="45"/>
      <c r="K31" s="34"/>
      <c r="L31" s="474"/>
      <c r="M31" s="474"/>
      <c r="N31" s="474"/>
      <c r="O31" s="475"/>
      <c r="P31" s="368">
        <f>IF(OR(J31="",G31=Paramétrage!$D$9,G31=Paramétrage!$D$12,G31=Paramétrage!$D$15,G31=Paramétrage!$D$18,G31=Paramétrage!$D$22,G31=Paramétrage!$D$25,AND(G31&lt;&gt;Paramétrage!$D$9,K31="Mut+ext")),0,ROUNDUP(I31/J31,0))</f>
        <v>0</v>
      </c>
      <c r="Q31" s="17">
        <f>IF(OR(G31="",K31="Mut+ext"),0,IF(VLOOKUP(G31,Paramétrage!$D$6:$F$27,3,0)=0,0,IF(J31="","saisir capacité",H31*P31*VLOOKUP(G31,Paramétrage!$D$6:$F$27,2,0))))</f>
        <v>0</v>
      </c>
      <c r="R31" s="33"/>
      <c r="S31" s="15">
        <f t="shared" si="1"/>
        <v>0</v>
      </c>
      <c r="T31" s="27">
        <f>IF(G31="",0,IF(ISERROR(R31+Q31*VLOOKUP(G31,Paramétrage!$D$6:$F$27,3,0))=TRUE,S31,R31+Q31*VLOOKUP(G31,Paramétrage!$D$6:$F$27,3,0)))</f>
        <v>0</v>
      </c>
      <c r="U31" s="37"/>
      <c r="V31" s="37"/>
      <c r="W31" s="37"/>
      <c r="X31" s="37"/>
      <c r="Y31" s="369">
        <f t="shared" si="6"/>
        <v>0</v>
      </c>
      <c r="Z31" s="476"/>
      <c r="AA31" s="474"/>
      <c r="AB31" s="475"/>
      <c r="AC31" s="26">
        <f>IF(B31="",0,IF(E31="",0,IF(SUMIF(B30:B49,B31,I30:I49)=0,0,IF(E31="Obligatoire",AD31/I31,IF(F31="",AD31/SUMIF(B30:B49,B31,I30:I49),AD31/(SUMIF(B30:B49,B31,I30:I49)/F31))))))</f>
        <v>0</v>
      </c>
      <c r="AD31" s="16">
        <f t="shared" ref="AD31:AD37" si="7">H31*I31</f>
        <v>0</v>
      </c>
    </row>
    <row r="32" spans="1:30" x14ac:dyDescent="0.25">
      <c r="A32" s="506"/>
      <c r="B32" s="54"/>
      <c r="C32" s="29"/>
      <c r="D32" s="32"/>
      <c r="E32" s="49"/>
      <c r="F32" s="30"/>
      <c r="G32" s="31"/>
      <c r="H32" s="41"/>
      <c r="I32" s="37"/>
      <c r="J32" s="45"/>
      <c r="K32" s="34"/>
      <c r="L32" s="474"/>
      <c r="M32" s="474"/>
      <c r="N32" s="474"/>
      <c r="O32" s="475"/>
      <c r="P32" s="368">
        <f>IF(OR(J32="",G32=Paramétrage!$D$9,G32=Paramétrage!$D$12,G32=Paramétrage!$D$15,G32=Paramétrage!$D$18,G32=Paramétrage!$D$22,G32=Paramétrage!$D$25,AND(G32&lt;&gt;Paramétrage!$D$9,K32="Mut+ext")),0,ROUNDUP(I32/J32,0))</f>
        <v>0</v>
      </c>
      <c r="Q32" s="17">
        <f>IF(OR(G32="",K32="Mut+ext"),0,IF(VLOOKUP(G32,Paramétrage!$D$6:$F$27,3,0)=0,0,IF(J32="","saisir capacité",H32*P32*VLOOKUP(G32,Paramétrage!$D$6:$F$27,2,0))))</f>
        <v>0</v>
      </c>
      <c r="R32" s="33"/>
      <c r="S32" s="15">
        <f t="shared" si="1"/>
        <v>0</v>
      </c>
      <c r="T32" s="27">
        <f>IF(G32="",0,IF(ISERROR(R32+Q32*VLOOKUP(G32,Paramétrage!$D$6:$F$27,3,0))=TRUE,S32,R32+Q32*VLOOKUP(G32,Paramétrage!$D$6:$F$27,3,0)))</f>
        <v>0</v>
      </c>
      <c r="U32" s="37"/>
      <c r="V32" s="37"/>
      <c r="W32" s="37"/>
      <c r="X32" s="37"/>
      <c r="Y32" s="369">
        <f t="shared" si="6"/>
        <v>0</v>
      </c>
      <c r="Z32" s="476"/>
      <c r="AA32" s="474"/>
      <c r="AB32" s="475"/>
      <c r="AC32" s="26">
        <f>IF(B32="",0,IF(E32="",0,IF(SUMIF(B31:B50,B32,I31:I50)=0,0,IF(E32="Obligatoire",AD32/I32,IF(F32="",AD32/SUMIF(B31:B50,B32,I31:I50),AD32/(SUMIF(B31:B50,B32,I31:I50)/F32))))))</f>
        <v>0</v>
      </c>
      <c r="AD32" s="16">
        <f t="shared" si="7"/>
        <v>0</v>
      </c>
    </row>
    <row r="33" spans="1:30" x14ac:dyDescent="0.25">
      <c r="A33" s="506"/>
      <c r="B33" s="54"/>
      <c r="C33" s="29"/>
      <c r="D33" s="29"/>
      <c r="E33" s="49"/>
      <c r="F33" s="30"/>
      <c r="G33" s="31"/>
      <c r="H33" s="41"/>
      <c r="I33" s="37"/>
      <c r="J33" s="45"/>
      <c r="K33" s="34"/>
      <c r="L33" s="474"/>
      <c r="M33" s="474"/>
      <c r="N33" s="474"/>
      <c r="O33" s="475"/>
      <c r="P33" s="368">
        <f>IF(OR(J33="",G33=Paramétrage!$D$9,G33=Paramétrage!$D$12,G33=Paramétrage!$D$15,G33=Paramétrage!$D$18,G33=Paramétrage!$D$22,G33=Paramétrage!$D$25,AND(G33&lt;&gt;Paramétrage!$D$9,K33="Mut+ext")),0,ROUNDUP(I33/J33,0))</f>
        <v>0</v>
      </c>
      <c r="Q33" s="17">
        <f>IF(OR(G33="",K33="Mut+ext"),0,IF(VLOOKUP(G33,Paramétrage!$D$6:$F$27,3,0)=0,0,IF(J33="","saisir capacité",H33*P33*VLOOKUP(G33,Paramétrage!$D$6:$F$27,2,0))))</f>
        <v>0</v>
      </c>
      <c r="R33" s="33"/>
      <c r="S33" s="15">
        <f t="shared" si="1"/>
        <v>0</v>
      </c>
      <c r="T33" s="27">
        <f>IF(G33="",0,IF(ISERROR(R33+Q33*VLOOKUP(G33,Paramétrage!$D$6:$F$27,3,0))=TRUE,S33,R33+Q33*VLOOKUP(G33,Paramétrage!$D$6:$F$27,3,0)))</f>
        <v>0</v>
      </c>
      <c r="U33" s="37"/>
      <c r="V33" s="37"/>
      <c r="W33" s="37"/>
      <c r="X33" s="37"/>
      <c r="Y33" s="369">
        <f t="shared" si="6"/>
        <v>0</v>
      </c>
      <c r="Z33" s="476"/>
      <c r="AA33" s="474"/>
      <c r="AB33" s="475"/>
      <c r="AC33" s="26">
        <f>IF(B33="",0,IF(E33="",0,IF(SUMIF(B32:B63,B33,I32:I63)=0,0,IF(E33="Obligatoire",AD33/I33,IF(F33="",AD33/SUMIF(B32:B63,B33,I32:I63),AD33/(SUMIF(B32:B63,B33,I32:I63)/F33))))))</f>
        <v>0</v>
      </c>
      <c r="AD33" s="16">
        <f t="shared" ref="AD33:AD34" si="8">H33*I33</f>
        <v>0</v>
      </c>
    </row>
    <row r="34" spans="1:30" x14ac:dyDescent="0.25">
      <c r="A34" s="506"/>
      <c r="B34" s="54"/>
      <c r="C34" s="29"/>
      <c r="D34" s="49"/>
      <c r="E34" s="32"/>
      <c r="F34" s="30"/>
      <c r="G34" s="31"/>
      <c r="H34" s="41"/>
      <c r="I34" s="37"/>
      <c r="J34" s="45"/>
      <c r="K34" s="34"/>
      <c r="L34" s="474"/>
      <c r="M34" s="474"/>
      <c r="N34" s="474"/>
      <c r="O34" s="475"/>
      <c r="P34" s="368">
        <f>IF(OR(J34="",G34=Paramétrage!$D$9,G34=Paramétrage!$D$12,G34=Paramétrage!$D$15,G34=Paramétrage!$D$18,G34=Paramétrage!$D$22,G34=Paramétrage!$D$25,AND(G34&lt;&gt;Paramétrage!$D$9,K34="Mut+ext")),0,ROUNDUP(I34/J34,0))</f>
        <v>0</v>
      </c>
      <c r="Q34" s="17">
        <f>IF(OR(G34="",K34="Mut+ext"),0,IF(VLOOKUP(G34,Paramétrage!$D$6:$F$27,3,0)=0,0,IF(J34="","saisir capacité",H34*P34*VLOOKUP(G34,Paramétrage!$D$6:$F$27,2,0))))</f>
        <v>0</v>
      </c>
      <c r="R34" s="33"/>
      <c r="S34" s="15">
        <f t="shared" si="1"/>
        <v>0</v>
      </c>
      <c r="T34" s="27">
        <f>IF(G34="",0,IF(ISERROR(R34+Q34*VLOOKUP(G34,Paramétrage!$D$6:$F$27,3,0))=TRUE,S34,R34+Q34*VLOOKUP(G34,Paramétrage!$D$6:$F$27,3,0)))</f>
        <v>0</v>
      </c>
      <c r="U34" s="37"/>
      <c r="V34" s="37"/>
      <c r="W34" s="37"/>
      <c r="X34" s="37"/>
      <c r="Y34" s="369">
        <f t="shared" si="6"/>
        <v>0</v>
      </c>
      <c r="Z34" s="476"/>
      <c r="AA34" s="474"/>
      <c r="AB34" s="475"/>
      <c r="AC34" s="26">
        <f>IF(B34="",0,IF(E34="",0,IF(SUMIF(B33:B64,B34,I33:I64)=0,0,IF(E34="Obligatoire",AD34/I34,IF(F34="",AD34/SUMIF(B33:B64,B34,I33:I64),AD34/(SUMIF(B33:B64,B34,I33:I64)/F34))))))</f>
        <v>0</v>
      </c>
      <c r="AD34" s="16">
        <f t="shared" si="8"/>
        <v>0</v>
      </c>
    </row>
    <row r="35" spans="1:30" x14ac:dyDescent="0.25">
      <c r="A35" s="506"/>
      <c r="B35" s="54"/>
      <c r="C35" s="29"/>
      <c r="D35" s="49"/>
      <c r="E35" s="32"/>
      <c r="F35" s="30"/>
      <c r="G35" s="31"/>
      <c r="H35" s="41"/>
      <c r="I35" s="37"/>
      <c r="J35" s="45"/>
      <c r="K35" s="34"/>
      <c r="L35" s="474"/>
      <c r="M35" s="474"/>
      <c r="N35" s="474"/>
      <c r="O35" s="475"/>
      <c r="P35" s="368">
        <f>IF(OR(J35="",G35=Paramétrage!$D$9,G35=Paramétrage!$D$12,G35=Paramétrage!$D$15,G35=Paramétrage!$D$18,G35=Paramétrage!$D$22,G35=Paramétrage!$D$25,AND(G35&lt;&gt;Paramétrage!$D$9,K35="Mut+ext")),0,ROUNDUP(I35/J35,0))</f>
        <v>0</v>
      </c>
      <c r="Q35" s="17">
        <f>IF(OR(G35="",K35="Mut+ext"),0,IF(VLOOKUP(G35,Paramétrage!$D$6:$F$27,3,0)=0,0,IF(J35="","saisir capacité",H35*P35*VLOOKUP(G35,Paramétrage!$D$6:$F$27,2,0))))</f>
        <v>0</v>
      </c>
      <c r="R35" s="33"/>
      <c r="S35" s="15">
        <f t="shared" si="1"/>
        <v>0</v>
      </c>
      <c r="T35" s="27">
        <f>IF(G35="",0,IF(ISERROR(R35+Q35*VLOOKUP(G35,Paramétrage!$D$6:$F$27,3,0))=TRUE,S35,R35+Q35*VLOOKUP(G35,Paramétrage!$D$6:$F$27,3,0)))</f>
        <v>0</v>
      </c>
      <c r="U35" s="37"/>
      <c r="V35" s="37"/>
      <c r="W35" s="37"/>
      <c r="X35" s="37"/>
      <c r="Y35" s="369">
        <f t="shared" si="6"/>
        <v>0</v>
      </c>
      <c r="Z35" s="476"/>
      <c r="AA35" s="474"/>
      <c r="AB35" s="475"/>
      <c r="AC35" s="26">
        <f>IF(B35="",0,IF(E35="",0,IF(SUMIF(B32:B63,B35,I32:I63)=0,0,IF(E35="Obligatoire",AD35/I35,IF(F35="",AD35/SUMIF(B32:B63,B35,I32:I63),AD35/(SUMIF(B32:B63,B35,I32:I63)/F35))))))</f>
        <v>0</v>
      </c>
      <c r="AD35" s="16">
        <f t="shared" si="7"/>
        <v>0</v>
      </c>
    </row>
    <row r="36" spans="1:30" x14ac:dyDescent="0.25">
      <c r="A36" s="506"/>
      <c r="B36" s="54"/>
      <c r="C36" s="29"/>
      <c r="D36" s="49"/>
      <c r="E36" s="32"/>
      <c r="F36" s="30"/>
      <c r="G36" s="31"/>
      <c r="H36" s="41"/>
      <c r="I36" s="37"/>
      <c r="J36" s="45"/>
      <c r="K36" s="34"/>
      <c r="L36" s="474"/>
      <c r="M36" s="474"/>
      <c r="N36" s="474"/>
      <c r="O36" s="475"/>
      <c r="P36" s="368">
        <f>IF(OR(J36="",G36=Paramétrage!$D$9,G36=Paramétrage!$D$12,G36=Paramétrage!$D$15,G36=Paramétrage!$D$18,G36=Paramétrage!$D$22,G36=Paramétrage!$D$25,AND(G36&lt;&gt;Paramétrage!$D$9,K36="Mut+ext")),0,ROUNDUP(I36/J36,0))</f>
        <v>0</v>
      </c>
      <c r="Q36" s="17">
        <f>IF(OR(G36="",K36="Mut+ext"),0,IF(VLOOKUP(G36,Paramétrage!$D$6:$F$27,3,0)=0,0,IF(J36="","saisir capacité",H36*P36*VLOOKUP(G36,Paramétrage!$D$6:$F$27,2,0))))</f>
        <v>0</v>
      </c>
      <c r="R36" s="33"/>
      <c r="S36" s="15">
        <f t="shared" si="1"/>
        <v>0</v>
      </c>
      <c r="T36" s="27">
        <f>IF(G36="",0,IF(ISERROR(R36+Q36*VLOOKUP(G36,Paramétrage!$D$6:$F$27,3,0))=TRUE,S36,R36+Q36*VLOOKUP(G36,Paramétrage!$D$6:$F$27,3,0)))</f>
        <v>0</v>
      </c>
      <c r="U36" s="37"/>
      <c r="V36" s="37"/>
      <c r="W36" s="37"/>
      <c r="X36" s="37"/>
      <c r="Y36" s="369">
        <f t="shared" si="6"/>
        <v>0</v>
      </c>
      <c r="Z36" s="476"/>
      <c r="AA36" s="474"/>
      <c r="AB36" s="475"/>
      <c r="AC36" s="26">
        <f>IF(B36="",0,IF(E36="",0,IF(SUMIF(B35:B64,B36,I35:I64)=0,0,IF(E36="Obligatoire",AD36/I36,IF(F36="",AD36/SUMIF(B35:B64,B36,I35:I64),AD36/(SUMIF(B35:B64,B36,I35:I64)/F36))))))</f>
        <v>0</v>
      </c>
      <c r="AD36" s="16">
        <f t="shared" si="7"/>
        <v>0</v>
      </c>
    </row>
    <row r="37" spans="1:30" x14ac:dyDescent="0.25">
      <c r="A37" s="506"/>
      <c r="B37" s="54"/>
      <c r="C37" s="29"/>
      <c r="D37" s="49"/>
      <c r="E37" s="32"/>
      <c r="F37" s="30"/>
      <c r="G37" s="31"/>
      <c r="H37" s="41"/>
      <c r="I37" s="37"/>
      <c r="J37" s="45"/>
      <c r="K37" s="34"/>
      <c r="L37" s="474"/>
      <c r="M37" s="474"/>
      <c r="N37" s="474"/>
      <c r="O37" s="475"/>
      <c r="P37" s="368">
        <f>IF(OR(J37="",G37=Paramétrage!$D$9,G37=Paramétrage!$D$12,G37=Paramétrage!$D$15,G37=Paramétrage!$D$18,G37=Paramétrage!$D$22,G37=Paramétrage!$D$25,AND(G37&lt;&gt;Paramétrage!$D$9,K37="Mut+ext")),0,ROUNDUP(I37/J37,0))</f>
        <v>0</v>
      </c>
      <c r="Q37" s="17">
        <f>IF(OR(G37="",K37="Mut+ext"),0,IF(VLOOKUP(G37,Paramétrage!$D$6:$F$27,3,0)=0,0,IF(J37="","saisir capacité",H37*P37*VLOOKUP(G37,Paramétrage!$D$6:$F$27,2,0))))</f>
        <v>0</v>
      </c>
      <c r="R37" s="33"/>
      <c r="S37" s="15">
        <f t="shared" si="1"/>
        <v>0</v>
      </c>
      <c r="T37" s="27">
        <f>IF(G37="",0,IF(ISERROR(R37+Q37*VLOOKUP(G37,Paramétrage!$D$6:$F$27,3,0))=TRUE,S37,R37+Q37*VLOOKUP(G37,Paramétrage!$D$6:$F$27,3,0)))</f>
        <v>0</v>
      </c>
      <c r="U37" s="37"/>
      <c r="V37" s="37"/>
      <c r="W37" s="37"/>
      <c r="X37" s="37"/>
      <c r="Y37" s="369">
        <f>SUM(U37:X37)</f>
        <v>0</v>
      </c>
      <c r="Z37" s="476"/>
      <c r="AA37" s="474"/>
      <c r="AB37" s="475"/>
      <c r="AC37" s="26">
        <f>IF(B37="",0,IF(E37="",0,IF(SUMIF(B36:B65,B37,I36:I65)=0,0,IF(E37="Obligatoire",AD37/I37,IF(F37="",AD37/SUMIF(B36:B65,B37,I36:I65),AD37/(SUMIF(B36:B65,B37,I36:I65)/F37))))))</f>
        <v>0</v>
      </c>
      <c r="AD37" s="16">
        <f t="shared" si="7"/>
        <v>0</v>
      </c>
    </row>
    <row r="38" spans="1:30" x14ac:dyDescent="0.25">
      <c r="A38" s="506"/>
      <c r="B38" s="54"/>
      <c r="C38" s="29"/>
      <c r="D38" s="49"/>
      <c r="E38" s="32"/>
      <c r="F38" s="30"/>
      <c r="G38" s="31"/>
      <c r="H38" s="41"/>
      <c r="I38" s="37"/>
      <c r="J38" s="45"/>
      <c r="K38" s="34"/>
      <c r="L38" s="474"/>
      <c r="M38" s="474"/>
      <c r="N38" s="474"/>
      <c r="O38" s="475"/>
      <c r="P38" s="368">
        <f>IF(OR(J38="",G38=Paramétrage!$D$9,G38=Paramétrage!$D$12,G38=Paramétrage!$D$15,G38=Paramétrage!$D$18,G38=Paramétrage!$D$22,G38=Paramétrage!$D$25,AND(G38&lt;&gt;Paramétrage!$D$9,K38="Mut+ext")),0,ROUNDUP(I38/J38,0))</f>
        <v>0</v>
      </c>
      <c r="Q38" s="17">
        <f>IF(OR(G38="",K38="Mut+ext"),0,IF(VLOOKUP(G38,Paramétrage!$D$6:$F$27,3,0)=0,0,IF(J38="","saisir capacité",H38*P38*VLOOKUP(G38,Paramétrage!$D$6:$F$27,2,0))))</f>
        <v>0</v>
      </c>
      <c r="R38" s="33"/>
      <c r="S38" s="15">
        <f t="shared" si="1"/>
        <v>0</v>
      </c>
      <c r="T38" s="27">
        <f>IF(G38="",0,IF(ISERROR(R38+Q38*VLOOKUP(G38,Paramétrage!$D$6:$F$27,3,0))=TRUE,S38,R38+Q38*VLOOKUP(G38,Paramétrage!$D$6:$F$27,3,0)))</f>
        <v>0</v>
      </c>
      <c r="U38" s="37"/>
      <c r="V38" s="37"/>
      <c r="W38" s="37"/>
      <c r="X38" s="37"/>
      <c r="Y38" s="369">
        <f t="shared" si="6"/>
        <v>0</v>
      </c>
      <c r="Z38" s="476"/>
      <c r="AA38" s="474"/>
      <c r="AB38" s="475"/>
      <c r="AC38" s="26">
        <f>IF(B38="",0,IF(E38="",0,IF(SUMIF(B30:B49,B38,I30:I49)=0,0,IF(E38="Obligatoire",AD38/I38,IF(F38="",AD38/SUMIF(B30:B49,B38,I30:I49),AD38/(SUMIF(B30:B49,B38,I30:I49)/F38))))))</f>
        <v>0</v>
      </c>
      <c r="AD38" s="16">
        <f t="shared" ref="AD38:AD41" si="9">H38*I38</f>
        <v>0</v>
      </c>
    </row>
    <row r="39" spans="1:30" x14ac:dyDescent="0.25">
      <c r="A39" s="506"/>
      <c r="B39" s="54"/>
      <c r="C39" s="29"/>
      <c r="D39" s="49"/>
      <c r="E39" s="32"/>
      <c r="F39" s="30"/>
      <c r="G39" s="31"/>
      <c r="H39" s="41"/>
      <c r="I39" s="37"/>
      <c r="J39" s="45"/>
      <c r="K39" s="34"/>
      <c r="L39" s="474"/>
      <c r="M39" s="474"/>
      <c r="N39" s="474"/>
      <c r="O39" s="475"/>
      <c r="P39" s="368">
        <f>IF(OR(J39="",G39=Paramétrage!$D$9,G39=Paramétrage!$D$12,G39=Paramétrage!$D$15,G39=Paramétrage!$D$18,G39=Paramétrage!$D$22,G39=Paramétrage!$D$25,AND(G39&lt;&gt;Paramétrage!$D$9,K39="Mut+ext")),0,ROUNDUP(I39/J39,0))</f>
        <v>0</v>
      </c>
      <c r="Q39" s="17">
        <f>IF(OR(G39="",K39="Mut+ext"),0,IF(VLOOKUP(G39,Paramétrage!$D$6:$F$27,3,0)=0,0,IF(J39="","saisir capacité",H39*P39*VLOOKUP(G39,Paramétrage!$D$6:$F$27,2,0))))</f>
        <v>0</v>
      </c>
      <c r="R39" s="33"/>
      <c r="S39" s="15">
        <f t="shared" si="1"/>
        <v>0</v>
      </c>
      <c r="T39" s="27">
        <f>IF(G39="",0,IF(ISERROR(R39+Q39*VLOOKUP(G39,Paramétrage!$D$6:$F$27,3,0))=TRUE,S39,R39+Q39*VLOOKUP(G39,Paramétrage!$D$6:$F$27,3,0)))</f>
        <v>0</v>
      </c>
      <c r="U39" s="37"/>
      <c r="V39" s="37"/>
      <c r="W39" s="37"/>
      <c r="X39" s="37"/>
      <c r="Y39" s="369">
        <f t="shared" si="6"/>
        <v>0</v>
      </c>
      <c r="Z39" s="476"/>
      <c r="AA39" s="474"/>
      <c r="AB39" s="475"/>
      <c r="AC39" s="26">
        <f t="shared" ref="AC39" si="10">IF(B39="",0,IF(E39="",0,IF(SUMIF(B38:B50,B39,I38:I50)=0,0,IF(E39="Obligatoire",AD39/I39,IF(F39="",AD39/SUMIF(B38:B50,B39,I38:I50),AD39/(SUMIF(B38:B50,B39,I38:I50)/F39))))))</f>
        <v>0</v>
      </c>
      <c r="AD39" s="16">
        <f t="shared" si="9"/>
        <v>0</v>
      </c>
    </row>
    <row r="40" spans="1:30" x14ac:dyDescent="0.25">
      <c r="A40" s="506"/>
      <c r="B40" s="54"/>
      <c r="C40" s="29"/>
      <c r="D40" s="49"/>
      <c r="E40" s="32"/>
      <c r="F40" s="30"/>
      <c r="G40" s="31"/>
      <c r="H40" s="41"/>
      <c r="I40" s="37"/>
      <c r="J40" s="45"/>
      <c r="K40" s="34"/>
      <c r="L40" s="474"/>
      <c r="M40" s="474"/>
      <c r="N40" s="474"/>
      <c r="O40" s="475"/>
      <c r="P40" s="368">
        <f>IF(OR(J40="",G40=Paramétrage!$D$9,G40=Paramétrage!$D$12,G40=Paramétrage!$D$15,G40=Paramétrage!$D$18,G40=Paramétrage!$D$22,G40=Paramétrage!$D$25,AND(G40&lt;&gt;Paramétrage!$D$9,K40="Mut+ext")),0,ROUNDUP(I40/J40,0))</f>
        <v>0</v>
      </c>
      <c r="Q40" s="17">
        <f>IF(OR(G40="",K40="Mut+ext"),0,IF(VLOOKUP(G40,Paramétrage!$D$6:$F$27,3,0)=0,0,IF(J40="","saisir capacité",H40*P40*VLOOKUP(G40,Paramétrage!$D$6:$F$27,2,0))))</f>
        <v>0</v>
      </c>
      <c r="R40" s="33"/>
      <c r="S40" s="15">
        <f t="shared" si="1"/>
        <v>0</v>
      </c>
      <c r="T40" s="27">
        <f>IF(G40="",0,IF(ISERROR(R40+Q40*VLOOKUP(G40,Paramétrage!$D$6:$F$27,3,0))=TRUE,S40,R40+Q40*VLOOKUP(G40,Paramétrage!$D$6:$F$27,3,0)))</f>
        <v>0</v>
      </c>
      <c r="U40" s="37"/>
      <c r="V40" s="37"/>
      <c r="W40" s="37"/>
      <c r="X40" s="37"/>
      <c r="Y40" s="369">
        <f t="shared" si="6"/>
        <v>0</v>
      </c>
      <c r="Z40" s="476"/>
      <c r="AA40" s="474"/>
      <c r="AB40" s="475"/>
      <c r="AC40" s="26">
        <f>IF(B40="",0,IF(E40="",0,IF(SUMIF(B39:B63,B40,I39:I63)=0,0,IF(E40="Obligatoire",AD40/I40,IF(F40="",AD40/SUMIF(B39:B63,B40,I39:I63),AD40/(SUMIF(B39:B63,B40,I39:I63)/F40))))))</f>
        <v>0</v>
      </c>
      <c r="AD40" s="16">
        <f t="shared" si="9"/>
        <v>0</v>
      </c>
    </row>
    <row r="41" spans="1:30" x14ac:dyDescent="0.25">
      <c r="A41" s="506"/>
      <c r="B41" s="54"/>
      <c r="C41" s="29"/>
      <c r="D41" s="49"/>
      <c r="E41" s="32"/>
      <c r="F41" s="30"/>
      <c r="G41" s="31"/>
      <c r="H41" s="41"/>
      <c r="I41" s="37"/>
      <c r="J41" s="45"/>
      <c r="K41" s="34"/>
      <c r="L41" s="474"/>
      <c r="M41" s="474"/>
      <c r="N41" s="474"/>
      <c r="O41" s="475"/>
      <c r="P41" s="368">
        <f>IF(OR(J41="",G41=Paramétrage!$D$9,G41=Paramétrage!$D$12,G41=Paramétrage!$D$15,G41=Paramétrage!$D$18,G41=Paramétrage!$D$22,G41=Paramétrage!$D$25,AND(G41&lt;&gt;Paramétrage!$D$9,K41="Mut+ext")),0,ROUNDUP(I41/J41,0))</f>
        <v>0</v>
      </c>
      <c r="Q41" s="17">
        <f>IF(OR(G41="",K41="Mut+ext"),0,IF(VLOOKUP(G41,Paramétrage!$D$6:$F$27,3,0)=0,0,IF(J41="","saisir capacité",H41*P41*VLOOKUP(G41,Paramétrage!$D$6:$F$27,2,0))))</f>
        <v>0</v>
      </c>
      <c r="R41" s="33"/>
      <c r="S41" s="15">
        <f t="shared" si="1"/>
        <v>0</v>
      </c>
      <c r="T41" s="27">
        <f>IF(G41="",0,IF(ISERROR(R41+Q41*VLOOKUP(G41,Paramétrage!$D$6:$F$27,3,0))=TRUE,S41,R41+Q41*VLOOKUP(G41,Paramétrage!$D$6:$F$27,3,0)))</f>
        <v>0</v>
      </c>
      <c r="U41" s="37"/>
      <c r="V41" s="37"/>
      <c r="W41" s="37"/>
      <c r="X41" s="37"/>
      <c r="Y41" s="369">
        <f t="shared" si="6"/>
        <v>0</v>
      </c>
      <c r="Z41" s="476"/>
      <c r="AA41" s="474"/>
      <c r="AB41" s="475"/>
      <c r="AC41" s="26">
        <f>IF(B41="",0,IF(E41="",0,IF(SUMIF(B40:B64,B41,I40:I64)=0,0,IF(E41="Obligatoire",AD41/I41,IF(F41="",AD41/SUMIF(B40:B64,B41,I40:I64),AD41/(SUMIF(B40:B64,B41,I40:I64)/F41))))))</f>
        <v>0</v>
      </c>
      <c r="AD41" s="16">
        <f t="shared" si="9"/>
        <v>0</v>
      </c>
    </row>
    <row r="42" spans="1:30" x14ac:dyDescent="0.25">
      <c r="A42" s="506"/>
      <c r="B42" s="54"/>
      <c r="C42" s="29"/>
      <c r="D42" s="49"/>
      <c r="E42" s="32"/>
      <c r="F42" s="30"/>
      <c r="G42" s="31"/>
      <c r="H42" s="41"/>
      <c r="I42" s="37"/>
      <c r="J42" s="45"/>
      <c r="K42" s="34"/>
      <c r="L42" s="474"/>
      <c r="M42" s="474"/>
      <c r="N42" s="474"/>
      <c r="O42" s="475"/>
      <c r="P42" s="368">
        <f>IF(OR(J42="",G42=Paramétrage!$D$9,G42=Paramétrage!$D$12,G42=Paramétrage!$D$15,G42=Paramétrage!$D$18,G42=Paramétrage!$D$22,G42=Paramétrage!$D$25,AND(G42&lt;&gt;Paramétrage!$D$9,K42="Mut+ext")),0,ROUNDUP(I42/J42,0))</f>
        <v>0</v>
      </c>
      <c r="Q42" s="17">
        <f>IF(OR(G42="",K42="Mut+ext"),0,IF(VLOOKUP(G42,Paramétrage!$D$6:$F$27,3,0)=0,0,IF(J42="","saisir capacité",H42*P42*VLOOKUP(G42,Paramétrage!$D$6:$F$27,2,0))))</f>
        <v>0</v>
      </c>
      <c r="R42" s="33"/>
      <c r="S42" s="15">
        <f t="shared" si="1"/>
        <v>0</v>
      </c>
      <c r="T42" s="27">
        <f>IF(G42="",0,IF(ISERROR(R42+Q42*VLOOKUP(G42,Paramétrage!$D$6:$F$27,3,0))=TRUE,S42,R42+Q42*VLOOKUP(G42,Paramétrage!$D$6:$F$27,3,0)))</f>
        <v>0</v>
      </c>
      <c r="U42" s="37"/>
      <c r="V42" s="37"/>
      <c r="W42" s="37"/>
      <c r="X42" s="37"/>
      <c r="Y42" s="369">
        <f t="shared" si="6"/>
        <v>0</v>
      </c>
      <c r="Z42" s="476"/>
      <c r="AA42" s="474"/>
      <c r="AB42" s="475"/>
      <c r="AC42" s="26">
        <f>IF(B42="",0,IF(E42="",0,IF(SUMIF(B28:B47,B42,I28:I47)=0,0,IF(E42="Obligatoire",AD42/I42,IF(F42="",AD42/SUMIF(B28:B47,B42,I28:I47),AD42/(SUMIF(B28:B47,B42,I28:I47)/F42))))))</f>
        <v>0</v>
      </c>
      <c r="AD42" s="16">
        <f t="shared" ref="AD42:AD47" si="11">H42*I42</f>
        <v>0</v>
      </c>
    </row>
    <row r="43" spans="1:30" x14ac:dyDescent="0.25">
      <c r="A43" s="506"/>
      <c r="B43" s="55"/>
      <c r="C43" s="29"/>
      <c r="D43" s="49"/>
      <c r="E43" s="32"/>
      <c r="F43" s="30"/>
      <c r="G43" s="31"/>
      <c r="H43" s="41"/>
      <c r="I43" s="37"/>
      <c r="J43" s="45"/>
      <c r="K43" s="34"/>
      <c r="L43" s="474"/>
      <c r="M43" s="474"/>
      <c r="N43" s="474"/>
      <c r="O43" s="475"/>
      <c r="P43" s="368">
        <f>IF(OR(J43="",G43=Paramétrage!$D$9,G43=Paramétrage!$D$12,G43=Paramétrage!$D$15,G43=Paramétrage!$D$18,G43=Paramétrage!$D$22,G43=Paramétrage!$D$25,AND(G43&lt;&gt;Paramétrage!$D$9,K43="Mut+ext")),0,ROUNDUP(I43/J43,0))</f>
        <v>0</v>
      </c>
      <c r="Q43" s="17">
        <f>IF(OR(G43="",K43="Mut+ext"),0,IF(VLOOKUP(G43,Paramétrage!$D$6:$F$27,3,0)=0,0,IF(J43="","saisir capacité",H43*P43*VLOOKUP(G43,Paramétrage!$D$6:$F$27,2,0))))</f>
        <v>0</v>
      </c>
      <c r="R43" s="33"/>
      <c r="S43" s="15">
        <f t="shared" si="1"/>
        <v>0</v>
      </c>
      <c r="T43" s="27">
        <f>IF(G43="",0,IF(ISERROR(R43+Q43*VLOOKUP(G43,Paramétrage!$D$6:$F$27,3,0))=TRUE,S43,R43+Q43*VLOOKUP(G43,Paramétrage!$D$6:$F$27,3,0)))</f>
        <v>0</v>
      </c>
      <c r="U43" s="37"/>
      <c r="V43" s="37"/>
      <c r="W43" s="37"/>
      <c r="X43" s="37"/>
      <c r="Y43" s="369">
        <f t="shared" si="6"/>
        <v>0</v>
      </c>
      <c r="Z43" s="476"/>
      <c r="AA43" s="474"/>
      <c r="AB43" s="475"/>
      <c r="AC43" s="26">
        <f>IF(B43="",0,IF(E43="",0,IF(SUMIF(B28:B47,B43,I28:I47)=0,0,IF(E43="Obligatoire",AD43/I43,IF(F43="",AD43/SUMIF(B28:B47,B43,I28:I47),AD43/(SUMIF(B28:B47,B43,I28:I47)/F43))))))</f>
        <v>0</v>
      </c>
      <c r="AD43" s="16">
        <f t="shared" si="11"/>
        <v>0</v>
      </c>
    </row>
    <row r="44" spans="1:30" x14ac:dyDescent="0.25">
      <c r="A44" s="506"/>
      <c r="B44" s="54"/>
      <c r="C44" s="29"/>
      <c r="D44" s="49"/>
      <c r="E44" s="32"/>
      <c r="F44" s="30"/>
      <c r="G44" s="31"/>
      <c r="H44" s="41"/>
      <c r="I44" s="37"/>
      <c r="J44" s="45"/>
      <c r="K44" s="34"/>
      <c r="L44" s="474"/>
      <c r="M44" s="474"/>
      <c r="N44" s="474"/>
      <c r="O44" s="475"/>
      <c r="P44" s="368">
        <f>IF(OR(J44="",G44=Paramétrage!$D$9,G44=Paramétrage!$D$12,G44=Paramétrage!$D$15,G44=Paramétrage!$D$18,G44=Paramétrage!$D$22,G44=Paramétrage!$D$25,AND(G44&lt;&gt;Paramétrage!$D$9,K44="Mut+ext")),0,ROUNDUP(I44/J44,0))</f>
        <v>0</v>
      </c>
      <c r="Q44" s="17">
        <f>IF(OR(G44="",K44="Mut+ext"),0,IF(VLOOKUP(G44,Paramétrage!$D$6:$F$27,3,0)=0,0,IF(J44="","saisir capacité",H44*P44*VLOOKUP(G44,Paramétrage!$D$6:$F$27,2,0))))</f>
        <v>0</v>
      </c>
      <c r="R44" s="33"/>
      <c r="S44" s="15">
        <f t="shared" si="1"/>
        <v>0</v>
      </c>
      <c r="T44" s="27">
        <f>IF(G44="",0,IF(ISERROR(R44+Q44*VLOOKUP(G44,Paramétrage!$D$6:$F$27,3,0))=TRUE,S44,R44+Q44*VLOOKUP(G44,Paramétrage!$D$6:$F$27,3,0)))</f>
        <v>0</v>
      </c>
      <c r="U44" s="37"/>
      <c r="V44" s="37"/>
      <c r="W44" s="37"/>
      <c r="X44" s="37"/>
      <c r="Y44" s="369">
        <f t="shared" si="6"/>
        <v>0</v>
      </c>
      <c r="Z44" s="476"/>
      <c r="AA44" s="474"/>
      <c r="AB44" s="475"/>
      <c r="AC44" s="26">
        <f>IF(B44="",0,IF(E44="",0,IF(SUMIF(B28:B47,B44,I28:I47)=0,0,IF(E44="Obligatoire",AD44/I44,IF(F44="",AD44/SUMIF(B28:B47,B44,I28:I47),AD44/(SUMIF(B28:B47,B44,I28:I47)/F44))))))</f>
        <v>0</v>
      </c>
      <c r="AD44" s="16">
        <f t="shared" si="11"/>
        <v>0</v>
      </c>
    </row>
    <row r="45" spans="1:30" x14ac:dyDescent="0.25">
      <c r="A45" s="506"/>
      <c r="B45" s="54"/>
      <c r="C45" s="29"/>
      <c r="D45" s="49"/>
      <c r="E45" s="32"/>
      <c r="F45" s="30"/>
      <c r="G45" s="31"/>
      <c r="H45" s="41"/>
      <c r="I45" s="37"/>
      <c r="J45" s="45"/>
      <c r="K45" s="34"/>
      <c r="L45" s="474"/>
      <c r="M45" s="474"/>
      <c r="N45" s="474"/>
      <c r="O45" s="475"/>
      <c r="P45" s="368">
        <f>IF(OR(J45="",G45=Paramétrage!$D$9,G45=Paramétrage!$D$12,G45=Paramétrage!$D$15,G45=Paramétrage!$D$18,G45=Paramétrage!$D$22,G45=Paramétrage!$D$25,AND(G45&lt;&gt;Paramétrage!$D$9,K45="Mut+ext")),0,ROUNDUP(I45/J45,0))</f>
        <v>0</v>
      </c>
      <c r="Q45" s="17">
        <f>IF(OR(G45="",K45="Mut+ext"),0,IF(VLOOKUP(G45,Paramétrage!$D$6:$F$27,3,0)=0,0,IF(J45="","saisir capacité",H45*P45*VLOOKUP(G45,Paramétrage!$D$6:$F$27,2,0))))</f>
        <v>0</v>
      </c>
      <c r="R45" s="33"/>
      <c r="S45" s="15">
        <f t="shared" si="1"/>
        <v>0</v>
      </c>
      <c r="T45" s="27">
        <f>IF(G45="",0,IF(ISERROR(R45+Q45*VLOOKUP(G45,Paramétrage!$D$6:$F$27,3,0))=TRUE,S45,R45+Q45*VLOOKUP(G45,Paramétrage!$D$6:$F$27,3,0)))</f>
        <v>0</v>
      </c>
      <c r="U45" s="39"/>
      <c r="V45" s="39"/>
      <c r="W45" s="39"/>
      <c r="X45" s="39"/>
      <c r="Y45" s="369">
        <f t="shared" si="6"/>
        <v>0</v>
      </c>
      <c r="Z45" s="476"/>
      <c r="AA45" s="474"/>
      <c r="AB45" s="475"/>
      <c r="AC45" s="26">
        <f>IF(B45="",0,IF(E45="",0,IF(SUMIF(B28:B47,B45,I28:I47)=0,0,IF(E45="Obligatoire",AD45/I45,IF(F45="",AD45/SUMIF(B28:B47,B45,I28:I47),AD45/(SUMIF(B28:B47,B45,I28:I47)/F45))))))</f>
        <v>0</v>
      </c>
      <c r="AD45" s="16">
        <f t="shared" si="11"/>
        <v>0</v>
      </c>
    </row>
    <row r="46" spans="1:30" x14ac:dyDescent="0.25">
      <c r="A46" s="506"/>
      <c r="B46" s="54"/>
      <c r="C46" s="29"/>
      <c r="D46" s="49"/>
      <c r="E46" s="32"/>
      <c r="F46" s="30"/>
      <c r="G46" s="31"/>
      <c r="H46" s="41"/>
      <c r="I46" s="37"/>
      <c r="J46" s="45"/>
      <c r="K46" s="34"/>
      <c r="L46" s="474"/>
      <c r="M46" s="474"/>
      <c r="N46" s="474"/>
      <c r="O46" s="475"/>
      <c r="P46" s="368">
        <f>IF(OR(J46="",G46=Paramétrage!$D$9,G46=Paramétrage!$D$12,G46=Paramétrage!$D$15,G46=Paramétrage!$D$18,G46=Paramétrage!$D$22,G46=Paramétrage!$D$25,AND(G46&lt;&gt;Paramétrage!$D$9,K46="Mut+ext")),0,ROUNDUP(I46/J46,0))</f>
        <v>0</v>
      </c>
      <c r="Q46" s="17">
        <f>IF(OR(G46="",K46="Mut+ext"),0,IF(VLOOKUP(G46,Paramétrage!$D$6:$F$27,3,0)=0,0,IF(J46="","saisir capacité",H46*P46*VLOOKUP(G46,Paramétrage!$D$6:$F$27,2,0))))</f>
        <v>0</v>
      </c>
      <c r="R46" s="33"/>
      <c r="S46" s="15">
        <f t="shared" si="1"/>
        <v>0</v>
      </c>
      <c r="T46" s="27">
        <f>IF(G46="",0,IF(ISERROR(R46+Q46*VLOOKUP(G46,Paramétrage!$D$6:$F$27,3,0))=TRUE,S46,R46+Q46*VLOOKUP(G46,Paramétrage!$D$6:$F$27,3,0)))</f>
        <v>0</v>
      </c>
      <c r="U46" s="38"/>
      <c r="V46" s="38"/>
      <c r="W46" s="38"/>
      <c r="X46" s="38"/>
      <c r="Y46" s="369">
        <f t="shared" si="6"/>
        <v>0</v>
      </c>
      <c r="Z46" s="476"/>
      <c r="AA46" s="474"/>
      <c r="AB46" s="475"/>
      <c r="AC46" s="26">
        <f>IF(B46="",0,IF(E46="",0,IF(SUMIF(B28:B47,B46,I28:I47)=0,0,IF(E46="Obligatoire",AD46/I46,IF(F46="",AD46/SUMIF(B28:B47,B46,I28:I47),AD46/(SUMIF(B28:B47,B46,I28:I47)/F46))))))</f>
        <v>0</v>
      </c>
      <c r="AD46" s="16">
        <f t="shared" si="11"/>
        <v>0</v>
      </c>
    </row>
    <row r="47" spans="1:30" x14ac:dyDescent="0.25">
      <c r="A47" s="506"/>
      <c r="B47" s="54"/>
      <c r="C47" s="29"/>
      <c r="D47" s="49"/>
      <c r="E47" s="32"/>
      <c r="F47" s="30"/>
      <c r="G47" s="31"/>
      <c r="H47" s="41"/>
      <c r="I47" s="37"/>
      <c r="J47" s="45"/>
      <c r="K47" s="34"/>
      <c r="L47" s="474"/>
      <c r="M47" s="474"/>
      <c r="N47" s="474"/>
      <c r="O47" s="475"/>
      <c r="P47" s="368">
        <f>IF(OR(J47="",G47=Paramétrage!$D$9,G47=Paramétrage!$D$12,G47=Paramétrage!$D$15,G47=Paramétrage!$D$18,G47=Paramétrage!$D$22,G47=Paramétrage!$D$25,AND(G47&lt;&gt;Paramétrage!$D$9,K47="Mut+ext")),0,ROUNDUP(I47/J47,0))</f>
        <v>0</v>
      </c>
      <c r="Q47" s="17">
        <f>IF(OR(G47="",K47="Mut+ext"),0,IF(VLOOKUP(G47,Paramétrage!$D$6:$F$27,3,0)=0,0,IF(J47="","saisir capacité",H47*P47*VLOOKUP(G47,Paramétrage!$D$6:$F$27,2,0))))</f>
        <v>0</v>
      </c>
      <c r="R47" s="33"/>
      <c r="S47" s="15">
        <f t="shared" si="1"/>
        <v>0</v>
      </c>
      <c r="T47" s="27">
        <f>IF(G47="",0,IF(ISERROR(R47+Q47*VLOOKUP(G47,Paramétrage!$D$6:$F$27,3,0))=TRUE,S47,R47+Q47*VLOOKUP(G47,Paramétrage!$D$6:$F$27,3,0)))</f>
        <v>0</v>
      </c>
      <c r="U47" s="37"/>
      <c r="V47" s="37"/>
      <c r="W47" s="37"/>
      <c r="X47" s="37"/>
      <c r="Y47" s="369">
        <f t="shared" si="6"/>
        <v>0</v>
      </c>
      <c r="Z47" s="476"/>
      <c r="AA47" s="474"/>
      <c r="AB47" s="475"/>
      <c r="AC47" s="26">
        <f>IF(B47="",0,IF(E47="",0,IF(SUMIF(B28:B47,B47,I28:I47)=0,0,IF(E47="Obligatoire",AD47/I47,IF(F47="",AD47/SUMIF(B28:B47,B47,I28:I47),AD47/(SUMIF(B28:B47,B47,I28:I47)/F47))))))</f>
        <v>0</v>
      </c>
      <c r="AD47" s="16">
        <f t="shared" si="11"/>
        <v>0</v>
      </c>
    </row>
    <row r="48" spans="1:30" ht="16.2" thickBot="1" x14ac:dyDescent="0.3">
      <c r="A48" s="507"/>
      <c r="B48" s="56"/>
      <c r="C48" s="65"/>
      <c r="D48" s="19"/>
      <c r="E48" s="405"/>
      <c r="F48" s="20"/>
      <c r="G48" s="18"/>
      <c r="H48" s="47">
        <f>AC48</f>
        <v>239</v>
      </c>
      <c r="I48" s="42"/>
      <c r="J48" s="46"/>
      <c r="K48" s="51"/>
      <c r="L48" s="62"/>
      <c r="M48" s="62"/>
      <c r="N48" s="62"/>
      <c r="O48" s="63"/>
      <c r="P48" s="391"/>
      <c r="Q48" s="392">
        <f>SUM(Q8:Q47)</f>
        <v>228</v>
      </c>
      <c r="R48" s="363">
        <f>SUM(R8:R47)</f>
        <v>21</v>
      </c>
      <c r="S48" s="393">
        <f>SUM(S8:S47)</f>
        <v>249</v>
      </c>
      <c r="T48" s="66">
        <f>SUM(T8:T47)</f>
        <v>294.5</v>
      </c>
      <c r="U48" s="393">
        <f t="shared" ref="U48:Y48" si="12">SUM(U8:U47)</f>
        <v>94</v>
      </c>
      <c r="V48" s="393">
        <f t="shared" si="12"/>
        <v>0</v>
      </c>
      <c r="W48" s="393">
        <f t="shared" si="12"/>
        <v>176</v>
      </c>
      <c r="X48" s="393">
        <f t="shared" si="12"/>
        <v>0</v>
      </c>
      <c r="Y48" s="393">
        <f t="shared" si="12"/>
        <v>270</v>
      </c>
      <c r="Z48" s="375"/>
      <c r="AA48" s="64"/>
      <c r="AB48" s="376"/>
      <c r="AC48" s="464">
        <f>SUM(AC8:AC47)</f>
        <v>239</v>
      </c>
      <c r="AD48" s="465">
        <f>SUM(AD8:AD47)</f>
        <v>3585</v>
      </c>
    </row>
    <row r="49" spans="1:30" ht="14.4" customHeight="1" x14ac:dyDescent="0.25">
      <c r="A49" s="505" t="s">
        <v>51</v>
      </c>
      <c r="B49" s="510" t="s">
        <v>32</v>
      </c>
      <c r="C49" s="511"/>
      <c r="D49" s="49"/>
      <c r="E49" s="32"/>
      <c r="F49" s="30"/>
      <c r="G49" s="31"/>
      <c r="H49" s="41"/>
      <c r="I49" s="383"/>
      <c r="J49" s="57"/>
      <c r="K49" s="50"/>
      <c r="L49" s="478"/>
      <c r="M49" s="478"/>
      <c r="N49" s="478"/>
      <c r="O49" s="490"/>
      <c r="P49" s="368">
        <f>IF(OR(J49="",G49=Paramétrage!$D$9,G49=Paramétrage!$D$12,G49=Paramétrage!$D$15,G49=Paramétrage!$D$18,G49=Paramétrage!$D$22,G49=Paramétrage!$D$25,AND(G49&lt;&gt;Paramétrage!$D$9,K49="Mut+ext")),0,ROUNDUP(I49/J49,0))</f>
        <v>0</v>
      </c>
      <c r="Q49" s="17">
        <f>IF(OR(G49="",K49="Mut+ext"),0,IF(VLOOKUP(G49,Paramétrage!$D$6:$F$27,3,0)=0,0,IF(J49="","saisir capacité",H49*P49*VLOOKUP(G49,Paramétrage!$D$6:$F$27,2,0))))</f>
        <v>0</v>
      </c>
      <c r="R49" s="58"/>
      <c r="S49" s="15">
        <f t="shared" si="1"/>
        <v>0</v>
      </c>
      <c r="T49" s="59">
        <f>IF(G49="",0,IF(ISERROR(R49+Q49*VLOOKUP(G49,Paramétrage!$D$6:$F$27,3,0))=TRUE,S49,R49+Q49*VLOOKUP(G49,Paramétrage!$D$6:$F$27,3,0)))</f>
        <v>0</v>
      </c>
      <c r="U49" s="36"/>
      <c r="V49" s="36"/>
      <c r="W49" s="36"/>
      <c r="X49" s="36"/>
      <c r="Y49" s="369">
        <f>SUM(U49:X49)</f>
        <v>0</v>
      </c>
      <c r="Z49" s="477"/>
      <c r="AA49" s="478"/>
      <c r="AB49" s="478"/>
      <c r="AC49" s="468">
        <f>IF(B49="",0,IF(E49="",0,IF(SUMIF($B$49:$B$88,B49,$I$49:$I$88)=0,0,IF(E49="Obligatoire",AD49/I49,IF(F49="",AD49/SUMIF($B$49:$B$88,B49,$I$49:$I$88),AD49/(SUMIF($B$49:$B$88,B49,$I$49:$I$88)/F49))))))</f>
        <v>0</v>
      </c>
      <c r="AD49" s="469">
        <f>H49*I49</f>
        <v>0</v>
      </c>
    </row>
    <row r="50" spans="1:30" x14ac:dyDescent="0.25">
      <c r="A50" s="506"/>
      <c r="B50" s="412">
        <v>1</v>
      </c>
      <c r="C50" s="421" t="s">
        <v>52</v>
      </c>
      <c r="D50" s="49" t="s">
        <v>33</v>
      </c>
      <c r="E50" s="32" t="s">
        <v>34</v>
      </c>
      <c r="F50" s="30"/>
      <c r="G50" s="31" t="s">
        <v>37</v>
      </c>
      <c r="H50" s="41">
        <v>21</v>
      </c>
      <c r="I50" s="38">
        <v>15</v>
      </c>
      <c r="J50" s="45">
        <v>15</v>
      </c>
      <c r="K50" s="34" t="s">
        <v>36</v>
      </c>
      <c r="L50" s="474"/>
      <c r="M50" s="474"/>
      <c r="N50" s="474"/>
      <c r="O50" s="475"/>
      <c r="P50" s="368">
        <f>IF(OR(J50="",G50=Paramétrage!$D$9,G50=Paramétrage!$D$12,G50=Paramétrage!$D$15,G50=Paramétrage!$D$18,G50=Paramétrage!$D$22,G50=Paramétrage!$D$25,AND(G50&lt;&gt;Paramétrage!$D$9,K50="Mut+ext")),0,ROUNDUP(I50/J50,0))</f>
        <v>1</v>
      </c>
      <c r="Q50" s="17">
        <f>IF(OR(G50="",K50="Mut+ext"),0,IF(VLOOKUP(G50,Paramétrage!$D$6:$F$27,3,0)=0,0,IF(J50="","saisir capacité",H50*P50*VLOOKUP(G50,Paramétrage!$D$6:$F$27,2,0))))</f>
        <v>21</v>
      </c>
      <c r="R50" s="33"/>
      <c r="S50" s="15">
        <f t="shared" si="1"/>
        <v>21</v>
      </c>
      <c r="T50" s="27">
        <f>IF(G50="",0,IF(ISERROR(R50+Q50*VLOOKUP(G50,Paramétrage!$D$6:$F$27,3,0))=TRUE,S50,R50+Q50*VLOOKUP(G50,Paramétrage!$D$6:$F$27,3,0)))</f>
        <v>21</v>
      </c>
      <c r="U50" s="37"/>
      <c r="V50" s="37"/>
      <c r="W50" s="37">
        <v>21</v>
      </c>
      <c r="X50" s="37"/>
      <c r="Y50" s="369">
        <f t="shared" ref="Y50:Y68" si="13">SUM(U50:X50)</f>
        <v>21</v>
      </c>
      <c r="Z50" s="476"/>
      <c r="AA50" s="474"/>
      <c r="AB50" s="474"/>
      <c r="AC50" s="470">
        <f t="shared" ref="AC50:AC88" si="14">IF(B50="",0,IF(E50="",0,IF(SUMIF($B$49:$B$88,B50,$I$49:$I$88)=0,0,IF(E50="Obligatoire",AD50/I50,IF(F50="",AD50/SUMIF($B$49:$B$88,B50,$I$49:$I$88),AD50/(SUMIF($B$49:$B$88,B50,$I$49:$I$88)/F50))))))</f>
        <v>21</v>
      </c>
      <c r="AD50" s="471">
        <f t="shared" ref="AD50:AD88" si="15">H50*I50</f>
        <v>315</v>
      </c>
    </row>
    <row r="51" spans="1:30" x14ac:dyDescent="0.25">
      <c r="A51" s="506"/>
      <c r="B51" s="54">
        <v>2</v>
      </c>
      <c r="C51" s="421" t="s">
        <v>53</v>
      </c>
      <c r="D51" s="49" t="s">
        <v>33</v>
      </c>
      <c r="E51" s="32" t="s">
        <v>34</v>
      </c>
      <c r="F51" s="30"/>
      <c r="G51" s="31" t="s">
        <v>35</v>
      </c>
      <c r="H51" s="41">
        <v>9</v>
      </c>
      <c r="I51" s="37">
        <v>15</v>
      </c>
      <c r="J51" s="45">
        <v>15</v>
      </c>
      <c r="K51" s="34" t="s">
        <v>36</v>
      </c>
      <c r="L51" s="474"/>
      <c r="M51" s="474"/>
      <c r="N51" s="474"/>
      <c r="O51" s="475"/>
      <c r="P51" s="368">
        <f>IF(OR(J51="",G51=Paramétrage!$D$9,G51=Paramétrage!$D$12,G51=Paramétrage!$D$15,G51=Paramétrage!$D$18,G51=Paramétrage!$D$22,G51=Paramétrage!$D$25,AND(G51&lt;&gt;Paramétrage!$D$9,K51="Mut+ext")),0,ROUNDUP(I51/J51,0))</f>
        <v>1</v>
      </c>
      <c r="Q51" s="17">
        <f>IF(OR(G51="",K51="Mut+ext"),0,IF(VLOOKUP(G51,Paramétrage!$D$6:$F$27,3,0)=0,0,IF(J51="","saisir capacité",H51*P51*VLOOKUP(G51,Paramétrage!$D$6:$F$27,2,0))))</f>
        <v>9</v>
      </c>
      <c r="R51" s="33"/>
      <c r="S51" s="15">
        <f t="shared" si="1"/>
        <v>9</v>
      </c>
      <c r="T51" s="27">
        <f>IF(G51="",0,IF(ISERROR(R51+Q51*VLOOKUP(G51,Paramétrage!$D$6:$F$27,3,0))=TRUE,S51,R51+Q51*VLOOKUP(G51,Paramétrage!$D$6:$F$27,3,0)))</f>
        <v>13.5</v>
      </c>
      <c r="U51" s="37"/>
      <c r="V51" s="37"/>
      <c r="W51" s="37">
        <v>9</v>
      </c>
      <c r="X51" s="37"/>
      <c r="Y51" s="369">
        <f t="shared" si="13"/>
        <v>9</v>
      </c>
      <c r="Z51" s="476"/>
      <c r="AA51" s="474"/>
      <c r="AB51" s="474"/>
      <c r="AC51" s="470">
        <f t="shared" si="14"/>
        <v>9</v>
      </c>
      <c r="AD51" s="471">
        <f t="shared" si="15"/>
        <v>135</v>
      </c>
    </row>
    <row r="52" spans="1:30" x14ac:dyDescent="0.25">
      <c r="A52" s="506"/>
      <c r="B52" s="54">
        <v>3</v>
      </c>
      <c r="C52" s="421" t="s">
        <v>53</v>
      </c>
      <c r="D52" s="49" t="s">
        <v>33</v>
      </c>
      <c r="E52" s="32" t="s">
        <v>34</v>
      </c>
      <c r="F52" s="30"/>
      <c r="G52" s="31" t="s">
        <v>37</v>
      </c>
      <c r="H52" s="41">
        <v>6</v>
      </c>
      <c r="I52" s="37">
        <v>15</v>
      </c>
      <c r="J52" s="45">
        <v>15</v>
      </c>
      <c r="K52" s="34" t="s">
        <v>36</v>
      </c>
      <c r="L52" s="474"/>
      <c r="M52" s="474"/>
      <c r="N52" s="474"/>
      <c r="O52" s="475"/>
      <c r="P52" s="368">
        <f>IF(OR(J52="",G52=Paramétrage!$D$9,G52=Paramétrage!$D$12,G52=Paramétrage!$D$15,G52=Paramétrage!$D$18,G52=Paramétrage!$D$22,G52=Paramétrage!$D$25,AND(G52&lt;&gt;Paramétrage!$D$9,K52="Mut+ext")),0,ROUNDUP(I52/J52,0))</f>
        <v>1</v>
      </c>
      <c r="Q52" s="17">
        <f>IF(OR(G52="",K52="Mut+ext"),0,IF(VLOOKUP(G52,Paramétrage!$D$6:$F$27,3,0)=0,0,IF(J52="","saisir capacité",H52*P52*VLOOKUP(G52,Paramétrage!$D$6:$F$27,2,0))))</f>
        <v>6</v>
      </c>
      <c r="R52" s="33"/>
      <c r="S52" s="15">
        <f t="shared" si="1"/>
        <v>6</v>
      </c>
      <c r="T52" s="27">
        <f>IF(G52="",0,IF(ISERROR(R52+Q52*VLOOKUP(G52,Paramétrage!$D$6:$F$27,3,0))=TRUE,S52,R52+Q52*VLOOKUP(G52,Paramétrage!$D$6:$F$27,3,0)))</f>
        <v>6</v>
      </c>
      <c r="U52" s="37"/>
      <c r="V52" s="37"/>
      <c r="W52" s="37">
        <v>6</v>
      </c>
      <c r="X52" s="37"/>
      <c r="Y52" s="369">
        <f t="shared" si="13"/>
        <v>6</v>
      </c>
      <c r="Z52" s="476"/>
      <c r="AA52" s="474"/>
      <c r="AB52" s="474"/>
      <c r="AC52" s="470">
        <f t="shared" si="14"/>
        <v>6</v>
      </c>
      <c r="AD52" s="471">
        <f t="shared" si="15"/>
        <v>90</v>
      </c>
    </row>
    <row r="53" spans="1:30" x14ac:dyDescent="0.25">
      <c r="A53" s="506"/>
      <c r="B53" s="54">
        <v>4</v>
      </c>
      <c r="C53" s="421" t="s">
        <v>54</v>
      </c>
      <c r="D53" s="49" t="s">
        <v>33</v>
      </c>
      <c r="E53" s="32" t="s">
        <v>34</v>
      </c>
      <c r="F53" s="30"/>
      <c r="G53" s="31" t="s">
        <v>37</v>
      </c>
      <c r="H53" s="41">
        <v>21</v>
      </c>
      <c r="I53" s="38">
        <v>15</v>
      </c>
      <c r="J53" s="45">
        <v>15</v>
      </c>
      <c r="K53" s="34" t="s">
        <v>36</v>
      </c>
      <c r="L53" s="474"/>
      <c r="M53" s="474"/>
      <c r="N53" s="474"/>
      <c r="O53" s="475"/>
      <c r="P53" s="368">
        <f>IF(OR(J53="",G53=Paramétrage!$D$9,G53=Paramétrage!$D$12,G53=Paramétrage!$D$15,G53=Paramétrage!$D$18,G53=Paramétrage!$D$22,G53=Paramétrage!$D$25,AND(G53&lt;&gt;Paramétrage!$D$9,K53="Mut+ext")),0,ROUNDUP(I53/J53,0))</f>
        <v>1</v>
      </c>
      <c r="Q53" s="17">
        <f>IF(OR(G53="",K53="Mut+ext"),0,IF(VLOOKUP(G53,Paramétrage!$D$6:$F$27,3,0)=0,0,IF(J53="","saisir capacité",H53*P53*VLOOKUP(G53,Paramétrage!$D$6:$F$27,2,0))))</f>
        <v>21</v>
      </c>
      <c r="R53" s="33"/>
      <c r="S53" s="15">
        <f t="shared" si="1"/>
        <v>21</v>
      </c>
      <c r="T53" s="27">
        <f>IF(G53="",0,IF(ISERROR(R53+Q53*VLOOKUP(G53,Paramétrage!$D$6:$F$27,3,0))=TRUE,S53,R53+Q53*VLOOKUP(G53,Paramétrage!$D$6:$F$27,3,0)))</f>
        <v>21</v>
      </c>
      <c r="U53" s="37"/>
      <c r="V53" s="37"/>
      <c r="W53" s="37">
        <v>21</v>
      </c>
      <c r="X53" s="37"/>
      <c r="Y53" s="369">
        <f t="shared" si="13"/>
        <v>21</v>
      </c>
      <c r="Z53" s="476"/>
      <c r="AA53" s="474"/>
      <c r="AB53" s="474"/>
      <c r="AC53" s="470">
        <f t="shared" si="14"/>
        <v>21</v>
      </c>
      <c r="AD53" s="471">
        <f t="shared" si="15"/>
        <v>315</v>
      </c>
    </row>
    <row r="54" spans="1:30" x14ac:dyDescent="0.25">
      <c r="A54" s="506"/>
      <c r="B54" s="54">
        <v>5</v>
      </c>
      <c r="C54" s="421" t="s">
        <v>55</v>
      </c>
      <c r="D54" s="49" t="s">
        <v>33</v>
      </c>
      <c r="E54" s="32" t="s">
        <v>34</v>
      </c>
      <c r="F54" s="30"/>
      <c r="G54" s="31" t="s">
        <v>35</v>
      </c>
      <c r="H54" s="41">
        <v>3</v>
      </c>
      <c r="I54" s="37">
        <v>15</v>
      </c>
      <c r="J54" s="45">
        <v>15</v>
      </c>
      <c r="K54" s="34" t="s">
        <v>36</v>
      </c>
      <c r="L54" s="474"/>
      <c r="M54" s="474"/>
      <c r="N54" s="474"/>
      <c r="O54" s="475"/>
      <c r="P54" s="368">
        <f>IF(OR(J54="",G54=Paramétrage!$D$9,G54=Paramétrage!$D$12,G54=Paramétrage!$D$15,G54=Paramétrage!$D$18,G54=Paramétrage!$D$22,G54=Paramétrage!$D$25,AND(G54&lt;&gt;Paramétrage!$D$9,K54="Mut+ext")),0,ROUNDUP(I54/J54,0))</f>
        <v>1</v>
      </c>
      <c r="Q54" s="17">
        <f>IF(OR(G54="",K54="Mut+ext"),0,IF(VLOOKUP(G54,Paramétrage!$D$6:$F$27,3,0)=0,0,IF(J54="","saisir capacité",H54*P54*VLOOKUP(G54,Paramétrage!$D$6:$F$27,2,0))))</f>
        <v>3</v>
      </c>
      <c r="R54" s="33"/>
      <c r="S54" s="15">
        <f t="shared" si="1"/>
        <v>3</v>
      </c>
      <c r="T54" s="27">
        <f>IF(G54="",0,IF(ISERROR(R54+Q54*VLOOKUP(G54,Paramétrage!$D$6:$F$27,3,0))=TRUE,S54,R54+Q54*VLOOKUP(G54,Paramétrage!$D$6:$F$27,3,0)))</f>
        <v>4.5</v>
      </c>
      <c r="U54" s="37"/>
      <c r="V54" s="37"/>
      <c r="W54" s="37">
        <v>3</v>
      </c>
      <c r="X54" s="37"/>
      <c r="Y54" s="369">
        <f t="shared" si="13"/>
        <v>3</v>
      </c>
      <c r="Z54" s="476"/>
      <c r="AA54" s="474"/>
      <c r="AB54" s="474"/>
      <c r="AC54" s="470">
        <f t="shared" si="14"/>
        <v>3</v>
      </c>
      <c r="AD54" s="471">
        <f t="shared" si="15"/>
        <v>45</v>
      </c>
    </row>
    <row r="55" spans="1:30" x14ac:dyDescent="0.25">
      <c r="A55" s="506"/>
      <c r="B55" s="54">
        <v>6</v>
      </c>
      <c r="C55" s="421" t="s">
        <v>55</v>
      </c>
      <c r="D55" s="49" t="s">
        <v>33</v>
      </c>
      <c r="E55" s="32" t="s">
        <v>34</v>
      </c>
      <c r="F55" s="30"/>
      <c r="G55" s="31" t="s">
        <v>37</v>
      </c>
      <c r="H55" s="41">
        <v>9</v>
      </c>
      <c r="I55" s="38">
        <v>15</v>
      </c>
      <c r="J55" s="45">
        <v>15</v>
      </c>
      <c r="K55" s="34" t="s">
        <v>36</v>
      </c>
      <c r="L55" s="474"/>
      <c r="M55" s="474"/>
      <c r="N55" s="474"/>
      <c r="O55" s="475"/>
      <c r="P55" s="368">
        <f>IF(OR(J55="",G55=Paramétrage!$D$9,G55=Paramétrage!$D$12,G55=Paramétrage!$D$15,G55=Paramétrage!$D$18,G55=Paramétrage!$D$22,G55=Paramétrage!$D$25,AND(G55&lt;&gt;Paramétrage!$D$9,K55="Mut+ext")),0,ROUNDUP(I55/J55,0))</f>
        <v>1</v>
      </c>
      <c r="Q55" s="17">
        <f>IF(OR(G55="",K55="Mut+ext"),0,IF(VLOOKUP(G55,Paramétrage!$D$6:$F$27,3,0)=0,0,IF(J55="","saisir capacité",H55*P55*VLOOKUP(G55,Paramétrage!$D$6:$F$27,2,0))))</f>
        <v>9</v>
      </c>
      <c r="R55" s="33"/>
      <c r="S55" s="15">
        <f t="shared" si="1"/>
        <v>9</v>
      </c>
      <c r="T55" s="27">
        <f>IF(G55="",0,IF(ISERROR(R55+Q55*VLOOKUP(G55,Paramétrage!$D$6:$F$27,3,0))=TRUE,S55,R55+Q55*VLOOKUP(G55,Paramétrage!$D$6:$F$27,3,0)))</f>
        <v>9</v>
      </c>
      <c r="U55" s="37"/>
      <c r="V55" s="37"/>
      <c r="W55" s="37">
        <v>9</v>
      </c>
      <c r="X55" s="37"/>
      <c r="Y55" s="369">
        <f t="shared" si="13"/>
        <v>9</v>
      </c>
      <c r="Z55" s="476"/>
      <c r="AA55" s="474"/>
      <c r="AB55" s="474"/>
      <c r="AC55" s="470">
        <f t="shared" si="14"/>
        <v>9</v>
      </c>
      <c r="AD55" s="471">
        <f t="shared" si="15"/>
        <v>135</v>
      </c>
    </row>
    <row r="56" spans="1:30" x14ac:dyDescent="0.25">
      <c r="A56" s="506"/>
      <c r="B56" s="54">
        <v>7</v>
      </c>
      <c r="C56" s="421" t="s">
        <v>56</v>
      </c>
      <c r="D56" s="49" t="s">
        <v>33</v>
      </c>
      <c r="E56" s="32" t="s">
        <v>34</v>
      </c>
      <c r="F56" s="30"/>
      <c r="G56" s="31" t="s">
        <v>35</v>
      </c>
      <c r="H56" s="41">
        <v>3</v>
      </c>
      <c r="I56" s="37">
        <v>15</v>
      </c>
      <c r="J56" s="45">
        <v>15</v>
      </c>
      <c r="K56" s="34" t="s">
        <v>36</v>
      </c>
      <c r="L56" s="474"/>
      <c r="M56" s="474"/>
      <c r="N56" s="474"/>
      <c r="O56" s="475"/>
      <c r="P56" s="368">
        <f>IF(OR(J56="",G56=Paramétrage!$D$9,G56=Paramétrage!$D$12,G56=Paramétrage!$D$15,G56=Paramétrage!$D$18,G56=Paramétrage!$D$22,G56=Paramétrage!$D$25,AND(G56&lt;&gt;Paramétrage!$D$9,K56="Mut+ext")),0,ROUNDUP(I56/J56,0))</f>
        <v>1</v>
      </c>
      <c r="Q56" s="17">
        <f>IF(OR(G56="",K56="Mut+ext"),0,IF(VLOOKUP(G56,Paramétrage!$D$6:$F$27,3,0)=0,0,IF(J56="","saisir capacité",H56*P56*VLOOKUP(G56,Paramétrage!$D$6:$F$27,2,0))))</f>
        <v>3</v>
      </c>
      <c r="R56" s="33"/>
      <c r="S56" s="15">
        <f t="shared" si="1"/>
        <v>3</v>
      </c>
      <c r="T56" s="27">
        <f>IF(G56="",0,IF(ISERROR(R56+Q56*VLOOKUP(G56,Paramétrage!$D$6:$F$27,3,0))=TRUE,S56,R56+Q56*VLOOKUP(G56,Paramétrage!$D$6:$F$27,3,0)))</f>
        <v>4.5</v>
      </c>
      <c r="U56" s="37"/>
      <c r="V56" s="37"/>
      <c r="W56" s="37">
        <v>3</v>
      </c>
      <c r="X56" s="37"/>
      <c r="Y56" s="369">
        <f t="shared" si="13"/>
        <v>3</v>
      </c>
      <c r="Z56" s="476"/>
      <c r="AA56" s="474"/>
      <c r="AB56" s="474"/>
      <c r="AC56" s="470">
        <f t="shared" si="14"/>
        <v>3</v>
      </c>
      <c r="AD56" s="471">
        <f t="shared" si="15"/>
        <v>45</v>
      </c>
    </row>
    <row r="57" spans="1:30" x14ac:dyDescent="0.25">
      <c r="A57" s="506"/>
      <c r="B57" s="54">
        <v>8</v>
      </c>
      <c r="C57" s="421" t="s">
        <v>56</v>
      </c>
      <c r="D57" s="49" t="s">
        <v>33</v>
      </c>
      <c r="E57" s="32" t="s">
        <v>34</v>
      </c>
      <c r="F57" s="30"/>
      <c r="G57" s="31" t="s">
        <v>37</v>
      </c>
      <c r="H57" s="41">
        <v>9</v>
      </c>
      <c r="I57" s="37">
        <v>15</v>
      </c>
      <c r="J57" s="45">
        <v>15</v>
      </c>
      <c r="K57" s="34" t="s">
        <v>36</v>
      </c>
      <c r="L57" s="474"/>
      <c r="M57" s="474"/>
      <c r="N57" s="474"/>
      <c r="O57" s="475"/>
      <c r="P57" s="368">
        <f>IF(OR(J57="",G57=Paramétrage!$D$9,G57=Paramétrage!$D$12,G57=Paramétrage!$D$15,G57=Paramétrage!$D$18,G57=Paramétrage!$D$22,G57=Paramétrage!$D$25,AND(G57&lt;&gt;Paramétrage!$D$9,K57="Mut+ext")),0,ROUNDUP(I57/J57,0))</f>
        <v>1</v>
      </c>
      <c r="Q57" s="17">
        <f>IF(OR(G57="",K57="Mut+ext"),0,IF(VLOOKUP(G57,Paramétrage!$D$6:$F$27,3,0)=0,0,IF(J57="","saisir capacité",H57*P57*VLOOKUP(G57,Paramétrage!$D$6:$F$27,2,0))))</f>
        <v>9</v>
      </c>
      <c r="R57" s="33"/>
      <c r="S57" s="15">
        <f t="shared" si="1"/>
        <v>9</v>
      </c>
      <c r="T57" s="27">
        <f>IF(G57="",0,IF(ISERROR(R57+Q57*VLOOKUP(G57,Paramétrage!$D$6:$F$27,3,0))=TRUE,S57,R57+Q57*VLOOKUP(G57,Paramétrage!$D$6:$F$27,3,0)))</f>
        <v>9</v>
      </c>
      <c r="U57" s="37"/>
      <c r="V57" s="37"/>
      <c r="W57" s="37">
        <v>9</v>
      </c>
      <c r="X57" s="37"/>
      <c r="Y57" s="369">
        <f t="shared" si="13"/>
        <v>9</v>
      </c>
      <c r="Z57" s="476"/>
      <c r="AA57" s="474"/>
      <c r="AB57" s="474"/>
      <c r="AC57" s="470">
        <f t="shared" si="14"/>
        <v>9</v>
      </c>
      <c r="AD57" s="471">
        <f t="shared" si="15"/>
        <v>135</v>
      </c>
    </row>
    <row r="58" spans="1:30" x14ac:dyDescent="0.3">
      <c r="A58" s="506"/>
      <c r="B58" s="414" t="s">
        <v>39</v>
      </c>
      <c r="C58" s="422"/>
      <c r="D58" s="49"/>
      <c r="E58" s="29"/>
      <c r="F58" s="30"/>
      <c r="G58" s="31"/>
      <c r="H58" s="41"/>
      <c r="I58" s="37"/>
      <c r="J58" s="45"/>
      <c r="K58" s="34"/>
      <c r="L58" s="474"/>
      <c r="M58" s="474"/>
      <c r="N58" s="474"/>
      <c r="O58" s="475"/>
      <c r="P58" s="368">
        <f>IF(OR(J58="",G58=Paramétrage!$D$9,G58=Paramétrage!$D$12,G58=Paramétrage!$D$15,G58=Paramétrage!$D$18,G58=Paramétrage!$D$22,G58=Paramétrage!$D$25,AND(G58&lt;&gt;Paramétrage!$D$9,K58="Mut+ext")),0,ROUNDUP(I58/J58,0))</f>
        <v>0</v>
      </c>
      <c r="Q58" s="17">
        <f>IF(OR(G58="",K58="Mut+ext"),0,IF(VLOOKUP(G58,Paramétrage!$D$6:$F$27,3,0)=0,0,IF(J58="","saisir capacité",H58*P58*VLOOKUP(G58,Paramétrage!$D$6:$F$27,2,0))))</f>
        <v>0</v>
      </c>
      <c r="R58" s="33"/>
      <c r="S58" s="15">
        <f t="shared" si="1"/>
        <v>0</v>
      </c>
      <c r="T58" s="27">
        <f>IF(G58="",0,IF(ISERROR(R58+Q58*VLOOKUP(G58,Paramétrage!$D$6:$F$27,3,0))=TRUE,S58,R58+Q58*VLOOKUP(G58,Paramétrage!$D$6:$F$27,3,0)))</f>
        <v>0</v>
      </c>
      <c r="U58" s="37"/>
      <c r="V58" s="37"/>
      <c r="W58" s="37"/>
      <c r="X58" s="37"/>
      <c r="Y58" s="369">
        <f t="shared" si="13"/>
        <v>0</v>
      </c>
      <c r="Z58" s="476"/>
      <c r="AA58" s="474"/>
      <c r="AB58" s="474"/>
      <c r="AC58" s="470">
        <f t="shared" si="14"/>
        <v>0</v>
      </c>
      <c r="AD58" s="471">
        <f t="shared" si="15"/>
        <v>0</v>
      </c>
    </row>
    <row r="59" spans="1:30" x14ac:dyDescent="0.25">
      <c r="A59" s="506"/>
      <c r="B59" s="412">
        <v>1</v>
      </c>
      <c r="C59" s="421" t="s">
        <v>57</v>
      </c>
      <c r="D59" s="49" t="s">
        <v>33</v>
      </c>
      <c r="E59" s="32" t="s">
        <v>34</v>
      </c>
      <c r="F59" s="30"/>
      <c r="G59" s="31" t="s">
        <v>37</v>
      </c>
      <c r="H59" s="41">
        <v>21</v>
      </c>
      <c r="I59" s="37">
        <v>15</v>
      </c>
      <c r="J59" s="45">
        <v>15</v>
      </c>
      <c r="K59" s="34" t="s">
        <v>36</v>
      </c>
      <c r="L59" s="474"/>
      <c r="M59" s="474"/>
      <c r="N59" s="474"/>
      <c r="O59" s="475"/>
      <c r="P59" s="368">
        <f>IF(OR(J59="",G59=Paramétrage!$D$9,G59=Paramétrage!$D$12,G59=Paramétrage!$D$15,G59=Paramétrage!$D$18,G59=Paramétrage!$D$22,G59=Paramétrage!$D$25,AND(G59&lt;&gt;Paramétrage!$D$9,K59="Mut+ext")),0,ROUNDUP(I59/J59,0))</f>
        <v>1</v>
      </c>
      <c r="Q59" s="17">
        <f>IF(OR(G59="",K59="Mut+ext"),0,IF(VLOOKUP(G59,Paramétrage!$D$6:$F$27,3,0)=0,0,IF(J59="","saisir capacité",H59*P59*VLOOKUP(G59,Paramétrage!$D$6:$F$27,2,0))))</f>
        <v>21</v>
      </c>
      <c r="R59" s="33"/>
      <c r="S59" s="15">
        <f t="shared" si="1"/>
        <v>21</v>
      </c>
      <c r="T59" s="27">
        <f>IF(G59="",0,IF(ISERROR(R59+Q59*VLOOKUP(G59,Paramétrage!$D$6:$F$27,3,0))=TRUE,S59,R59+Q59*VLOOKUP(G59,Paramétrage!$D$6:$F$27,3,0)))</f>
        <v>21</v>
      </c>
      <c r="U59" s="37"/>
      <c r="V59" s="37"/>
      <c r="W59" s="37">
        <v>21</v>
      </c>
      <c r="X59" s="37"/>
      <c r="Y59" s="369">
        <f t="shared" si="13"/>
        <v>21</v>
      </c>
      <c r="Z59" s="476"/>
      <c r="AA59" s="474"/>
      <c r="AB59" s="474"/>
      <c r="AC59" s="470">
        <f t="shared" si="14"/>
        <v>21</v>
      </c>
      <c r="AD59" s="471">
        <f t="shared" si="15"/>
        <v>315</v>
      </c>
    </row>
    <row r="60" spans="1:30" x14ac:dyDescent="0.3">
      <c r="A60" s="506"/>
      <c r="B60" s="414" t="s">
        <v>44</v>
      </c>
      <c r="C60" s="422"/>
      <c r="D60" s="49"/>
      <c r="E60" s="32"/>
      <c r="F60" s="30"/>
      <c r="G60" s="31"/>
      <c r="H60" s="41"/>
      <c r="I60" s="37"/>
      <c r="J60" s="45"/>
      <c r="K60" s="34"/>
      <c r="L60" s="474"/>
      <c r="M60" s="474"/>
      <c r="N60" s="474"/>
      <c r="O60" s="475"/>
      <c r="P60" s="368">
        <f>IF(OR(J60="",G60=Paramétrage!$D$9,G60=Paramétrage!$D$12,G60=Paramétrage!$D$15,G60=Paramétrage!$D$18,G60=Paramétrage!$D$22,G60=Paramétrage!$D$25,AND(G60&lt;&gt;Paramétrage!$D$9,K60="Mut+ext")),0,ROUNDUP(I60/J60,0))</f>
        <v>0</v>
      </c>
      <c r="Q60" s="17">
        <f>IF(OR(G60="",K60="Mut+ext"),0,IF(VLOOKUP(G60,Paramétrage!$D$6:$F$27,3,0)=0,0,IF(J60="","saisir capacité",H60*P60*VLOOKUP(G60,Paramétrage!$D$6:$F$27,2,0))))</f>
        <v>0</v>
      </c>
      <c r="R60" s="33"/>
      <c r="S60" s="15">
        <f t="shared" si="1"/>
        <v>0</v>
      </c>
      <c r="T60" s="27">
        <f>IF(G60="",0,IF(ISERROR(R60+Q60*VLOOKUP(G60,Paramétrage!$D$6:$F$27,3,0))=TRUE,S60,R60+Q60*VLOOKUP(G60,Paramétrage!$D$6:$F$27,3,0)))</f>
        <v>0</v>
      </c>
      <c r="U60" s="37"/>
      <c r="V60" s="37"/>
      <c r="W60" s="37"/>
      <c r="X60" s="37"/>
      <c r="Y60" s="369">
        <f t="shared" si="13"/>
        <v>0</v>
      </c>
      <c r="Z60" s="476"/>
      <c r="AA60" s="474"/>
      <c r="AB60" s="474"/>
      <c r="AC60" s="470">
        <f t="shared" si="14"/>
        <v>0</v>
      </c>
      <c r="AD60" s="471">
        <f t="shared" si="15"/>
        <v>0</v>
      </c>
    </row>
    <row r="61" spans="1:30" x14ac:dyDescent="0.25">
      <c r="A61" s="506"/>
      <c r="B61" s="412">
        <v>1</v>
      </c>
      <c r="C61" s="421" t="s">
        <v>58</v>
      </c>
      <c r="D61" s="49" t="s">
        <v>33</v>
      </c>
      <c r="E61" s="32" t="s">
        <v>34</v>
      </c>
      <c r="F61" s="30"/>
      <c r="G61" s="31" t="s">
        <v>35</v>
      </c>
      <c r="H61" s="41">
        <v>21</v>
      </c>
      <c r="I61" s="37">
        <v>15</v>
      </c>
      <c r="J61" s="45">
        <v>15</v>
      </c>
      <c r="K61" s="34" t="s">
        <v>36</v>
      </c>
      <c r="L61" s="474"/>
      <c r="M61" s="474"/>
      <c r="N61" s="474"/>
      <c r="O61" s="475"/>
      <c r="P61" s="368">
        <f>IF(OR(J61="",G61=Paramétrage!$D$9,G61=Paramétrage!$D$12,G61=Paramétrage!$D$15,G61=Paramétrage!$D$18,G61=Paramétrage!$D$22,G61=Paramétrage!$D$25,AND(G61&lt;&gt;Paramétrage!$D$9,K61="Mut+ext")),0,ROUNDUP(I61/J61,0))</f>
        <v>1</v>
      </c>
      <c r="Q61" s="17">
        <f>IF(OR(G61="",K61="Mut+ext"),0,IF(VLOOKUP(G61,Paramétrage!$D$6:$F$27,3,0)=0,0,IF(J61="","saisir capacité",H61*P61*VLOOKUP(G61,Paramétrage!$D$6:$F$27,2,0))))</f>
        <v>21</v>
      </c>
      <c r="R61" s="33"/>
      <c r="S61" s="15">
        <f t="shared" si="1"/>
        <v>21</v>
      </c>
      <c r="T61" s="27">
        <f>IF(G61="",0,IF(ISERROR(R61+Q61*VLOOKUP(G61,Paramétrage!$D$6:$F$27,3,0))=TRUE,S61,R61+Q61*VLOOKUP(G61,Paramétrage!$D$6:$F$27,3,0)))</f>
        <v>31.5</v>
      </c>
      <c r="U61" s="37"/>
      <c r="V61" s="37"/>
      <c r="W61" s="37">
        <v>21</v>
      </c>
      <c r="X61" s="37"/>
      <c r="Y61" s="369">
        <f t="shared" si="13"/>
        <v>21</v>
      </c>
      <c r="Z61" s="476"/>
      <c r="AA61" s="474"/>
      <c r="AB61" s="474"/>
      <c r="AC61" s="470">
        <f t="shared" si="14"/>
        <v>21</v>
      </c>
      <c r="AD61" s="471">
        <f t="shared" si="15"/>
        <v>315</v>
      </c>
    </row>
    <row r="62" spans="1:30" x14ac:dyDescent="0.25">
      <c r="A62" s="506"/>
      <c r="B62" s="54">
        <v>2</v>
      </c>
      <c r="C62" s="421" t="s">
        <v>58</v>
      </c>
      <c r="D62" s="49" t="s">
        <v>33</v>
      </c>
      <c r="E62" s="32" t="s">
        <v>34</v>
      </c>
      <c r="F62" s="30"/>
      <c r="G62" s="31" t="s">
        <v>37</v>
      </c>
      <c r="H62" s="41">
        <v>21</v>
      </c>
      <c r="I62" s="37">
        <v>15</v>
      </c>
      <c r="J62" s="45">
        <v>15</v>
      </c>
      <c r="K62" s="34" t="s">
        <v>36</v>
      </c>
      <c r="L62" s="474"/>
      <c r="M62" s="474"/>
      <c r="N62" s="474"/>
      <c r="O62" s="475"/>
      <c r="P62" s="368">
        <f>IF(OR(J62="",G62=Paramétrage!$D$9,G62=Paramétrage!$D$12,G62=Paramétrage!$D$15,G62=Paramétrage!$D$18,G62=Paramétrage!$D$22,G62=Paramétrage!$D$25,AND(G62&lt;&gt;Paramétrage!$D$9,K62="Mut+ext")),0,ROUNDUP(I62/J62,0))</f>
        <v>1</v>
      </c>
      <c r="Q62" s="17">
        <f>IF(OR(G62="",K62="Mut+ext"),0,IF(VLOOKUP(G62,Paramétrage!$D$6:$F$27,3,0)=0,0,IF(J62="","saisir capacité",H62*P62*VLOOKUP(G62,Paramétrage!$D$6:$F$27,2,0))))</f>
        <v>21</v>
      </c>
      <c r="R62" s="33"/>
      <c r="S62" s="15">
        <f t="shared" si="1"/>
        <v>21</v>
      </c>
      <c r="T62" s="27">
        <f>IF(G62="",0,IF(ISERROR(R62+Q62*VLOOKUP(G62,Paramétrage!$D$6:$F$27,3,0))=TRUE,S62,R62+Q62*VLOOKUP(G62,Paramétrage!$D$6:$F$27,3,0)))</f>
        <v>21</v>
      </c>
      <c r="U62" s="37"/>
      <c r="V62" s="37"/>
      <c r="W62" s="37">
        <v>21</v>
      </c>
      <c r="X62" s="37"/>
      <c r="Y62" s="369">
        <f t="shared" si="13"/>
        <v>21</v>
      </c>
      <c r="Z62" s="476"/>
      <c r="AA62" s="474"/>
      <c r="AB62" s="474"/>
      <c r="AC62" s="470">
        <f t="shared" si="14"/>
        <v>21</v>
      </c>
      <c r="AD62" s="471">
        <f t="shared" si="15"/>
        <v>315</v>
      </c>
    </row>
    <row r="63" spans="1:30" x14ac:dyDescent="0.25">
      <c r="A63" s="506"/>
      <c r="B63" s="512" t="s">
        <v>46</v>
      </c>
      <c r="C63" s="513"/>
      <c r="D63" s="49"/>
      <c r="E63" s="32"/>
      <c r="F63" s="30"/>
      <c r="G63" s="31"/>
      <c r="H63" s="41"/>
      <c r="I63" s="37"/>
      <c r="J63" s="45"/>
      <c r="K63" s="34"/>
      <c r="L63" s="474"/>
      <c r="M63" s="474"/>
      <c r="N63" s="474"/>
      <c r="O63" s="475"/>
      <c r="P63" s="368">
        <f>IF(OR(J63="",G63=Paramétrage!$D$9,G63=Paramétrage!$D$12,G63=Paramétrage!$D$15,G63=Paramétrage!$D$18,G63=Paramétrage!$D$22,G63=Paramétrage!$D$25,AND(G63&lt;&gt;Paramétrage!$D$9,K63="Mut+ext")),0,ROUNDUP(I63/J63,0))</f>
        <v>0</v>
      </c>
      <c r="Q63" s="17">
        <f>IF(OR(G63="",K63="Mut+ext"),0,IF(VLOOKUP(G63,Paramétrage!$D$6:$F$27,3,0)=0,0,IF(J63="","saisir capacité",H63*P63*VLOOKUP(G63,Paramétrage!$D$6:$F$27,2,0))))</f>
        <v>0</v>
      </c>
      <c r="R63" s="33"/>
      <c r="S63" s="15">
        <f t="shared" si="1"/>
        <v>0</v>
      </c>
      <c r="T63" s="27">
        <f>IF(G63="",0,IF(ISERROR(R63+Q63*VLOOKUP(G63,Paramétrage!$D$6:$F$27,3,0))=TRUE,S63,R63+Q63*VLOOKUP(G63,Paramétrage!$D$6:$F$27,3,0)))</f>
        <v>0</v>
      </c>
      <c r="U63" s="37"/>
      <c r="V63" s="37"/>
      <c r="W63" s="37"/>
      <c r="X63" s="37"/>
      <c r="Y63" s="369">
        <f t="shared" si="13"/>
        <v>0</v>
      </c>
      <c r="Z63" s="476"/>
      <c r="AA63" s="474"/>
      <c r="AB63" s="474"/>
      <c r="AC63" s="470">
        <f t="shared" si="14"/>
        <v>0</v>
      </c>
      <c r="AD63" s="471">
        <f t="shared" si="15"/>
        <v>0</v>
      </c>
    </row>
    <row r="64" spans="1:30" x14ac:dyDescent="0.25">
      <c r="A64" s="506"/>
      <c r="B64" s="412">
        <v>1</v>
      </c>
      <c r="C64" s="421" t="s">
        <v>59</v>
      </c>
      <c r="D64" s="49" t="s">
        <v>33</v>
      </c>
      <c r="E64" s="32" t="s">
        <v>34</v>
      </c>
      <c r="F64" s="30"/>
      <c r="G64" s="31" t="s">
        <v>35</v>
      </c>
      <c r="H64" s="41">
        <v>6</v>
      </c>
      <c r="I64" s="38">
        <v>15</v>
      </c>
      <c r="J64" s="45">
        <v>15</v>
      </c>
      <c r="K64" s="34" t="s">
        <v>36</v>
      </c>
      <c r="L64" s="474"/>
      <c r="M64" s="474"/>
      <c r="N64" s="474"/>
      <c r="O64" s="475"/>
      <c r="P64" s="368">
        <f>IF(OR(J64="",G64=Paramétrage!$D$9,G64=Paramétrage!$D$12,G64=Paramétrage!$D$15,G64=Paramétrage!$D$18,G64=Paramétrage!$D$22,G64=Paramétrage!$D$25,AND(G64&lt;&gt;Paramétrage!$D$9,K64="Mut+ext")),0,ROUNDUP(I64/J64,0))</f>
        <v>1</v>
      </c>
      <c r="Q64" s="17">
        <f>IF(OR(G64="",K64="Mut+ext"),0,IF(VLOOKUP(G64,Paramétrage!$D$6:$F$27,3,0)=0,0,IF(J64="","saisir capacité",H64*P64*VLOOKUP(G64,Paramétrage!$D$6:$F$27,2,0))))</f>
        <v>6</v>
      </c>
      <c r="R64" s="33"/>
      <c r="S64" s="15">
        <f t="shared" si="1"/>
        <v>6</v>
      </c>
      <c r="T64" s="27">
        <f>IF(G64="",0,IF(ISERROR(R64+Q64*VLOOKUP(G64,Paramétrage!$D$6:$F$27,3,0))=TRUE,S64,R64+Q64*VLOOKUP(G64,Paramétrage!$D$6:$F$27,3,0)))</f>
        <v>9</v>
      </c>
      <c r="U64" s="37"/>
      <c r="V64" s="37"/>
      <c r="W64" s="37">
        <v>6</v>
      </c>
      <c r="X64" s="37"/>
      <c r="Y64" s="369">
        <f t="shared" si="13"/>
        <v>6</v>
      </c>
      <c r="Z64" s="476"/>
      <c r="AA64" s="474"/>
      <c r="AB64" s="474"/>
      <c r="AC64" s="470">
        <f t="shared" si="14"/>
        <v>6</v>
      </c>
      <c r="AD64" s="471">
        <f t="shared" si="15"/>
        <v>90</v>
      </c>
    </row>
    <row r="65" spans="1:30" x14ac:dyDescent="0.25">
      <c r="A65" s="506"/>
      <c r="B65" s="54">
        <v>2</v>
      </c>
      <c r="C65" s="421" t="s">
        <v>59</v>
      </c>
      <c r="D65" s="49" t="s">
        <v>33</v>
      </c>
      <c r="E65" s="32" t="s">
        <v>34</v>
      </c>
      <c r="F65" s="30"/>
      <c r="G65" s="31" t="s">
        <v>37</v>
      </c>
      <c r="H65" s="41">
        <v>24</v>
      </c>
      <c r="I65" s="37">
        <v>15</v>
      </c>
      <c r="J65" s="45">
        <v>15</v>
      </c>
      <c r="K65" s="34" t="s">
        <v>36</v>
      </c>
      <c r="L65" s="474"/>
      <c r="M65" s="474"/>
      <c r="N65" s="474"/>
      <c r="O65" s="475"/>
      <c r="P65" s="368">
        <f>IF(OR(J65="",G65=Paramétrage!$D$9,G65=Paramétrage!$D$12,G65=Paramétrage!$D$15,G65=Paramétrage!$D$18,G65=Paramétrage!$D$22,G65=Paramétrage!$D$25,AND(G65&lt;&gt;Paramétrage!$D$9,K65="Mut+ext")),0,ROUNDUP(I65/J65,0))</f>
        <v>1</v>
      </c>
      <c r="Q65" s="17">
        <f>IF(OR(G65="",K65="Mut+ext"),0,IF(VLOOKUP(G65,Paramétrage!$D$6:$F$27,3,0)=0,0,IF(J65="","saisir capacité",H65*P65*VLOOKUP(G65,Paramétrage!$D$6:$F$27,2,0))))</f>
        <v>24</v>
      </c>
      <c r="R65" s="33"/>
      <c r="S65" s="15">
        <f t="shared" si="1"/>
        <v>24</v>
      </c>
      <c r="T65" s="27">
        <f>IF(G65="",0,IF(ISERROR(R65+Q65*VLOOKUP(G65,Paramétrage!$D$6:$F$27,3,0))=TRUE,S65,R65+Q65*VLOOKUP(G65,Paramétrage!$D$6:$F$27,3,0)))</f>
        <v>24</v>
      </c>
      <c r="U65" s="37"/>
      <c r="V65" s="37"/>
      <c r="W65" s="37">
        <v>24</v>
      </c>
      <c r="X65" s="37"/>
      <c r="Y65" s="369">
        <f t="shared" si="13"/>
        <v>24</v>
      </c>
      <c r="Z65" s="476"/>
      <c r="AA65" s="474"/>
      <c r="AB65" s="474"/>
      <c r="AC65" s="470">
        <f t="shared" si="14"/>
        <v>24</v>
      </c>
      <c r="AD65" s="471">
        <f t="shared" si="15"/>
        <v>360</v>
      </c>
    </row>
    <row r="66" spans="1:30" ht="13.8" customHeight="1" x14ac:dyDescent="0.25">
      <c r="A66" s="506"/>
      <c r="B66" s="54">
        <v>3</v>
      </c>
      <c r="C66" s="421" t="s">
        <v>60</v>
      </c>
      <c r="D66" s="49" t="s">
        <v>33</v>
      </c>
      <c r="E66" s="32" t="s">
        <v>34</v>
      </c>
      <c r="F66" s="30"/>
      <c r="G66" s="31" t="s">
        <v>35</v>
      </c>
      <c r="H66" s="41">
        <v>15</v>
      </c>
      <c r="I66" s="38">
        <v>15</v>
      </c>
      <c r="J66" s="45">
        <v>15</v>
      </c>
      <c r="K66" s="34" t="s">
        <v>36</v>
      </c>
      <c r="L66" s="474"/>
      <c r="M66" s="474"/>
      <c r="N66" s="474"/>
      <c r="O66" s="475"/>
      <c r="P66" s="368">
        <f>IF(OR(J66="",G66=Paramétrage!$D$9,G66=Paramétrage!$D$12,G66=Paramétrage!$D$15,G66=Paramétrage!$D$18,G66=Paramétrage!$D$22,G66=Paramétrage!$D$25,AND(G66&lt;&gt;Paramétrage!$D$9,K66="Mut+ext")),0,ROUNDUP(I66/J66,0))</f>
        <v>1</v>
      </c>
      <c r="Q66" s="17">
        <f>IF(OR(G66="",K66="Mut+ext"),0,IF(VLOOKUP(G66,Paramétrage!$D$6:$F$27,3,0)=0,0,IF(J66="","saisir capacité",H66*P66*VLOOKUP(G66,Paramétrage!$D$6:$F$27,2,0))))</f>
        <v>15</v>
      </c>
      <c r="R66" s="33"/>
      <c r="S66" s="15">
        <f t="shared" si="1"/>
        <v>15</v>
      </c>
      <c r="T66" s="27">
        <f>IF(G66="",0,IF(ISERROR(R66+Q66*VLOOKUP(G66,Paramétrage!$D$6:$F$27,3,0))=TRUE,S66,R66+Q66*VLOOKUP(G66,Paramétrage!$D$6:$F$27,3,0)))</f>
        <v>22.5</v>
      </c>
      <c r="U66" s="39">
        <v>15</v>
      </c>
      <c r="V66" s="39"/>
      <c r="W66" s="39"/>
      <c r="X66" s="39"/>
      <c r="Y66" s="369">
        <f t="shared" si="13"/>
        <v>15</v>
      </c>
      <c r="Z66" s="476"/>
      <c r="AA66" s="474"/>
      <c r="AB66" s="474"/>
      <c r="AC66" s="470">
        <f t="shared" si="14"/>
        <v>15</v>
      </c>
      <c r="AD66" s="471">
        <f t="shared" si="15"/>
        <v>225</v>
      </c>
    </row>
    <row r="67" spans="1:30" x14ac:dyDescent="0.25">
      <c r="A67" s="506"/>
      <c r="B67" s="54">
        <v>4</v>
      </c>
      <c r="C67" s="421" t="s">
        <v>61</v>
      </c>
      <c r="D67" s="49" t="s">
        <v>33</v>
      </c>
      <c r="E67" s="32" t="s">
        <v>34</v>
      </c>
      <c r="F67" s="30"/>
      <c r="G67" s="31" t="s">
        <v>50</v>
      </c>
      <c r="H67" s="41">
        <v>53</v>
      </c>
      <c r="I67" s="37">
        <v>15</v>
      </c>
      <c r="J67" s="45">
        <v>15</v>
      </c>
      <c r="K67" s="34" t="s">
        <v>36</v>
      </c>
      <c r="L67" s="474"/>
      <c r="M67" s="474"/>
      <c r="N67" s="474"/>
      <c r="O67" s="475"/>
      <c r="P67" s="368">
        <f>IF(OR(J67="",G67=Paramétrage!$D$9,G67=Paramétrage!$D$12,G67=Paramétrage!$D$15,G67=Paramétrage!$D$18,G67=Paramétrage!$D$22,G67=Paramétrage!$D$25,AND(G67&lt;&gt;Paramétrage!$D$9,K67="Mut+ext")),0,ROUNDUP(I67/J67,0))</f>
        <v>0</v>
      </c>
      <c r="Q67" s="17">
        <f>IF(OR(G67="",K67="Mut+ext"),0,IF(VLOOKUP(G67,Paramétrage!$D$6:$F$27,3,0)=0,0,IF(J67="","saisir capacité",H67*P67*VLOOKUP(G67,Paramétrage!$D$6:$F$27,2,0))))</f>
        <v>0</v>
      </c>
      <c r="R67" s="33">
        <v>30</v>
      </c>
      <c r="S67" s="15">
        <f t="shared" si="1"/>
        <v>30</v>
      </c>
      <c r="T67" s="27">
        <f>IF(G67="",0,IF(ISERROR(R67+Q67*VLOOKUP(G67,Paramétrage!$D$6:$F$27,3,0))=TRUE,S67,R67+Q67*VLOOKUP(G67,Paramétrage!$D$6:$F$27,3,0)))</f>
        <v>30</v>
      </c>
      <c r="U67" s="38">
        <v>30</v>
      </c>
      <c r="V67" s="38"/>
      <c r="W67" s="38"/>
      <c r="X67" s="38"/>
      <c r="Y67" s="369">
        <f t="shared" si="13"/>
        <v>30</v>
      </c>
      <c r="Z67" s="476"/>
      <c r="AA67" s="474"/>
      <c r="AB67" s="474"/>
      <c r="AC67" s="470">
        <f t="shared" si="14"/>
        <v>53</v>
      </c>
      <c r="AD67" s="471">
        <f t="shared" si="15"/>
        <v>795</v>
      </c>
    </row>
    <row r="68" spans="1:30" ht="15.6" customHeight="1" x14ac:dyDescent="0.25">
      <c r="A68" s="506"/>
      <c r="B68" s="389">
        <v>5</v>
      </c>
      <c r="C68" s="421" t="s">
        <v>62</v>
      </c>
      <c r="D68" s="406" t="s">
        <v>33</v>
      </c>
      <c r="E68" s="29" t="s">
        <v>34</v>
      </c>
      <c r="F68" s="30"/>
      <c r="G68" s="31" t="s">
        <v>35</v>
      </c>
      <c r="H68" s="388">
        <v>15</v>
      </c>
      <c r="I68" s="38">
        <v>15</v>
      </c>
      <c r="J68" s="45">
        <v>15</v>
      </c>
      <c r="K68" s="34" t="s">
        <v>36</v>
      </c>
      <c r="L68" s="474"/>
      <c r="M68" s="474"/>
      <c r="N68" s="474"/>
      <c r="O68" s="475"/>
      <c r="P68" s="368">
        <f>IF(OR(J68="",G68=Paramétrage!$D$9,G68=Paramétrage!$D$12,G68=Paramétrage!$D$15,G68=Paramétrage!$D$18,G68=Paramétrage!$D$22,G68=Paramétrage!$D$25,AND(G68&lt;&gt;Paramétrage!$D$9,K68="Mut+ext")),0,ROUNDUP(I68/J68,0))</f>
        <v>1</v>
      </c>
      <c r="Q68" s="17">
        <f>IF(OR(G68="",K68="Mut+ext"),0,IF(VLOOKUP(G68,Paramétrage!$D$6:$F$27,3,0)=0,0,IF(J68="","saisir capacité",H68*P68*VLOOKUP(G68,Paramétrage!$D$6:$F$27,2,0))))</f>
        <v>15</v>
      </c>
      <c r="R68" s="383"/>
      <c r="S68" s="384">
        <f t="shared" si="1"/>
        <v>15</v>
      </c>
      <c r="T68" s="385">
        <f>IF(G68="",0,IF(ISERROR(R68+Q68*VLOOKUP(G68,Paramétrage!$D$6:$F$27,3,0))=TRUE,S68,R68+Q68*VLOOKUP(G68,Paramétrage!$D$6:$F$27,3,0)))</f>
        <v>22.5</v>
      </c>
      <c r="U68" s="38">
        <v>15</v>
      </c>
      <c r="V68" s="38"/>
      <c r="W68" s="38"/>
      <c r="X68" s="38"/>
      <c r="Y68" s="386">
        <f t="shared" si="13"/>
        <v>15</v>
      </c>
      <c r="Z68" s="476"/>
      <c r="AA68" s="474"/>
      <c r="AB68" s="474"/>
      <c r="AC68" s="470">
        <f t="shared" si="14"/>
        <v>15</v>
      </c>
      <c r="AD68" s="471">
        <f t="shared" si="15"/>
        <v>225</v>
      </c>
    </row>
    <row r="69" spans="1:30" ht="14.4" customHeight="1" x14ac:dyDescent="0.25">
      <c r="A69" s="506"/>
      <c r="B69" s="419"/>
      <c r="C69" s="420"/>
      <c r="D69" s="29"/>
      <c r="E69" s="404"/>
      <c r="F69" s="30"/>
      <c r="G69" s="31"/>
      <c r="H69" s="380"/>
      <c r="I69" s="37"/>
      <c r="J69" s="381"/>
      <c r="K69" s="382"/>
      <c r="L69" s="480"/>
      <c r="M69" s="480"/>
      <c r="N69" s="480"/>
      <c r="O69" s="493"/>
      <c r="P69" s="378">
        <f>IF(OR(J69="",G69=Paramétrage!$D$9,G69=Paramétrage!$D$12,G69=Paramétrage!$D$15,G69=Paramétrage!$D$18,G69=Paramétrage!$D$22,G69=Paramétrage!$D$25,AND(G69&lt;&gt;Paramétrage!$D$9,K69="Mut+ext")),0,ROUNDUP(I69/J69,0))</f>
        <v>0</v>
      </c>
      <c r="Q69" s="17">
        <f>IF(OR(G69="",K69="Mut+ext"),0,IF(VLOOKUP(G69,Paramétrage!$D$6:$F$27,3,0)=0,0,IF(J69="","saisir capacité",H69*P69*VLOOKUP(G69,Paramétrage!$D$6:$F$27,2,0))))</f>
        <v>0</v>
      </c>
      <c r="R69" s="379"/>
      <c r="S69" s="15">
        <f t="shared" si="1"/>
        <v>0</v>
      </c>
      <c r="T69" s="27">
        <f>IF(G69="",0,IF(ISERROR(R69+Q69*VLOOKUP(G69,Paramétrage!$D$6:$F$27,3,0))=TRUE,S69,R69+Q69*VLOOKUP(G69,Paramétrage!$D$6:$F$27,3,0)))</f>
        <v>0</v>
      </c>
      <c r="U69" s="37"/>
      <c r="V69" s="37"/>
      <c r="W69" s="37"/>
      <c r="X69" s="37"/>
      <c r="Y69" s="369">
        <f>SUM(U69:X69)</f>
        <v>0</v>
      </c>
      <c r="Z69" s="479"/>
      <c r="AA69" s="480"/>
      <c r="AB69" s="480"/>
      <c r="AC69" s="470">
        <f t="shared" si="14"/>
        <v>0</v>
      </c>
      <c r="AD69" s="471">
        <f t="shared" si="15"/>
        <v>0</v>
      </c>
    </row>
    <row r="70" spans="1:30" s="452" customFormat="1" x14ac:dyDescent="0.25">
      <c r="A70" s="506"/>
      <c r="B70" s="433"/>
      <c r="C70" s="453"/>
      <c r="D70" s="435"/>
      <c r="E70" s="436"/>
      <c r="F70" s="437"/>
      <c r="G70" s="438"/>
      <c r="H70" s="439"/>
      <c r="I70" s="440"/>
      <c r="J70" s="441"/>
      <c r="K70" s="442"/>
      <c r="L70" s="482"/>
      <c r="M70" s="482"/>
      <c r="N70" s="482"/>
      <c r="O70" s="483"/>
      <c r="P70" s="443">
        <f>IF(OR(J70="",G70=Paramétrage!$D$9,G70=Paramétrage!$D$12,G70=Paramétrage!$D$15,G70=Paramétrage!$D$18,G70=Paramétrage!$D$22,G70=Paramétrage!$D$25,AND(G70&lt;&gt;Paramétrage!$D$9,K70="Mut+ext")),0,ROUNDUP(I70/J70,0))</f>
        <v>0</v>
      </c>
      <c r="Q70" s="444">
        <f>IF(OR(G70="",K70="Mut+ext"),0,IF(VLOOKUP(G70,Paramétrage!$D$6:$F$27,3,0)=0,0,IF(J70="","saisir capacité",H70*P70*VLOOKUP(G70,Paramétrage!$D$6:$F$27,2,0))))</f>
        <v>0</v>
      </c>
      <c r="R70" s="445"/>
      <c r="S70" s="446">
        <f t="shared" si="1"/>
        <v>0</v>
      </c>
      <c r="T70" s="447">
        <f>IF(G70="",0,IF(ISERROR(R70+Q70*VLOOKUP(G70,Paramétrage!$D$6:$F$27,3,0))=TRUE,S70,R70+Q70*VLOOKUP(G70,Paramétrage!$D$6:$F$27,3,0)))</f>
        <v>0</v>
      </c>
      <c r="U70" s="448"/>
      <c r="V70" s="448"/>
      <c r="W70" s="448"/>
      <c r="X70" s="448"/>
      <c r="Y70" s="449">
        <f t="shared" ref="Y70:Y88" si="16">SUM(U70:X70)</f>
        <v>0</v>
      </c>
      <c r="Z70" s="481"/>
      <c r="AA70" s="482"/>
      <c r="AB70" s="482"/>
      <c r="AC70" s="470">
        <f t="shared" si="14"/>
        <v>0</v>
      </c>
      <c r="AD70" s="471">
        <f t="shared" si="15"/>
        <v>0</v>
      </c>
    </row>
    <row r="71" spans="1:30" s="452" customFormat="1" x14ac:dyDescent="0.25">
      <c r="A71" s="506"/>
      <c r="B71" s="433">
        <v>2</v>
      </c>
      <c r="C71" s="434" t="s">
        <v>63</v>
      </c>
      <c r="D71" s="435" t="s">
        <v>33</v>
      </c>
      <c r="E71" s="436" t="s">
        <v>34</v>
      </c>
      <c r="F71" s="437"/>
      <c r="G71" s="438" t="s">
        <v>64</v>
      </c>
      <c r="H71" s="439">
        <v>10</v>
      </c>
      <c r="I71" s="440">
        <v>15</v>
      </c>
      <c r="J71" s="441">
        <v>15</v>
      </c>
      <c r="K71" s="442" t="s">
        <v>36</v>
      </c>
      <c r="L71" s="514"/>
      <c r="M71" s="514"/>
      <c r="N71" s="514"/>
      <c r="O71" s="515"/>
      <c r="P71" s="443">
        <f>IF(OR(J71="",G71=Paramétrage!$D$9,G71=Paramétrage!$D$12,G71=Paramétrage!$D$15,G71=Paramétrage!$D$18,G71=Paramétrage!$D$22,G71=Paramétrage!$D$25,AND(G71&lt;&gt;Paramétrage!$D$9,K71="Mut+ext")),0,ROUNDUP(I71/J71,0))</f>
        <v>0</v>
      </c>
      <c r="Q71" s="444">
        <f>IF(OR(G71="",K71="Mut+ext"),0,IF(VLOOKUP(G71,Paramétrage!$D$6:$F$27,3,0)=0,0,IF(J71="","saisir capacité",H71*P71*VLOOKUP(G71,Paramétrage!$D$6:$F$27,2,0))))</f>
        <v>0</v>
      </c>
      <c r="R71" s="445">
        <v>10</v>
      </c>
      <c r="S71" s="446">
        <f t="shared" ref="S71:S88" si="17">IF(OR(G71="",K71="Mut+ext"),0,IF(ISERROR(Q71+R71)=TRUE,Q71,Q71+R71))</f>
        <v>10</v>
      </c>
      <c r="T71" s="447">
        <f>IF(G71="",0,IF(ISERROR(R71+Q71*VLOOKUP(G71,Paramétrage!$D$6:$F$27,3,0))=TRUE,S71,R71+Q71*VLOOKUP(G71,Paramétrage!$D$6:$F$27,3,0)))</f>
        <v>10</v>
      </c>
      <c r="U71" s="448">
        <v>10</v>
      </c>
      <c r="V71" s="448"/>
      <c r="W71" s="448"/>
      <c r="X71" s="448"/>
      <c r="Y71" s="449">
        <f t="shared" si="16"/>
        <v>10</v>
      </c>
      <c r="Z71" s="481"/>
      <c r="AA71" s="482"/>
      <c r="AB71" s="482"/>
      <c r="AC71" s="470">
        <f t="shared" si="14"/>
        <v>10</v>
      </c>
      <c r="AD71" s="471">
        <f t="shared" si="15"/>
        <v>150</v>
      </c>
    </row>
    <row r="72" spans="1:30" x14ac:dyDescent="0.25">
      <c r="A72" s="506"/>
      <c r="B72" s="412"/>
      <c r="C72" s="413"/>
      <c r="D72" s="408"/>
      <c r="E72" s="407"/>
      <c r="F72" s="30"/>
      <c r="G72" s="383"/>
      <c r="H72" s="41"/>
      <c r="I72" s="37"/>
      <c r="J72" s="45"/>
      <c r="K72" s="34"/>
      <c r="L72" s="474"/>
      <c r="M72" s="474"/>
      <c r="N72" s="474"/>
      <c r="O72" s="475"/>
      <c r="P72" s="368">
        <f>IF(OR(J72="",G72=Paramétrage!$D$9,G72=Paramétrage!$D$12,G72=Paramétrage!$D$15,G72=Paramétrage!$D$18,G72=Paramétrage!$D$22,G72=Paramétrage!$D$25,AND(G72&lt;&gt;Paramétrage!$D$9,K72="Mut+ext")),0,ROUNDUP(I72/J72,0))</f>
        <v>0</v>
      </c>
      <c r="Q72" s="17">
        <f>IF(OR(G72="",K72="Mut+ext"),0,IF(VLOOKUP(G72,Paramétrage!$D$6:$F$27,3,0)=0,0,IF(J72="","saisir capacité",H72*P72*VLOOKUP(G72,Paramétrage!$D$6:$F$27,2,0))))</f>
        <v>0</v>
      </c>
      <c r="R72" s="33"/>
      <c r="S72" s="15">
        <f t="shared" si="17"/>
        <v>0</v>
      </c>
      <c r="T72" s="27">
        <f>IF(G72="",0,IF(ISERROR(R72+Q72*VLOOKUP(G72,Paramétrage!$D$6:$F$27,3,0))=TRUE,S72,R72+Q72*VLOOKUP(G72,Paramétrage!$D$6:$F$27,3,0)))</f>
        <v>0</v>
      </c>
      <c r="U72" s="37"/>
      <c r="V72" s="37"/>
      <c r="W72" s="37"/>
      <c r="X72" s="37"/>
      <c r="Y72" s="369">
        <f t="shared" si="16"/>
        <v>0</v>
      </c>
      <c r="Z72" s="476"/>
      <c r="AA72" s="474"/>
      <c r="AB72" s="474"/>
      <c r="AC72" s="470">
        <f t="shared" si="14"/>
        <v>0</v>
      </c>
      <c r="AD72" s="471">
        <f t="shared" si="15"/>
        <v>0</v>
      </c>
    </row>
    <row r="73" spans="1:30" x14ac:dyDescent="0.25">
      <c r="A73" s="506"/>
      <c r="B73" s="412"/>
      <c r="C73" s="413"/>
      <c r="D73" s="408"/>
      <c r="E73" s="407"/>
      <c r="F73" s="30"/>
      <c r="G73" s="383"/>
      <c r="H73" s="41"/>
      <c r="I73" s="37"/>
      <c r="J73" s="45"/>
      <c r="K73" s="34"/>
      <c r="L73" s="474"/>
      <c r="M73" s="474"/>
      <c r="N73" s="474"/>
      <c r="O73" s="475"/>
      <c r="P73" s="368">
        <f>IF(OR(J73="",G73=Paramétrage!$D$9,G73=Paramétrage!$D$12,G73=Paramétrage!$D$15,G73=Paramétrage!$D$18,G73=Paramétrage!$D$22,G73=Paramétrage!$D$25,AND(G73&lt;&gt;Paramétrage!$D$9,K73="Mut+ext")),0,ROUNDUP(I73/J73,0))</f>
        <v>0</v>
      </c>
      <c r="Q73" s="17">
        <f>IF(OR(G73="",K73="Mut+ext"),0,IF(VLOOKUP(G73,Paramétrage!$D$6:$F$27,3,0)=0,0,IF(J73="","saisir capacité",H73*P73*VLOOKUP(G73,Paramétrage!$D$6:$F$27,2,0))))</f>
        <v>0</v>
      </c>
      <c r="R73" s="33"/>
      <c r="S73" s="15">
        <f t="shared" si="17"/>
        <v>0</v>
      </c>
      <c r="T73" s="27">
        <f>IF(G73="",0,IF(ISERROR(R73+Q73*VLOOKUP(G73,Paramétrage!$D$6:$F$27,3,0))=TRUE,S73,R73+Q73*VLOOKUP(G73,Paramétrage!$D$6:$F$27,3,0)))</f>
        <v>0</v>
      </c>
      <c r="U73" s="37"/>
      <c r="V73" s="37"/>
      <c r="W73" s="37"/>
      <c r="X73" s="37"/>
      <c r="Y73" s="369">
        <f t="shared" si="16"/>
        <v>0</v>
      </c>
      <c r="Z73" s="476"/>
      <c r="AA73" s="474"/>
      <c r="AB73" s="474"/>
      <c r="AC73" s="470">
        <f t="shared" si="14"/>
        <v>0</v>
      </c>
      <c r="AD73" s="471">
        <f t="shared" si="15"/>
        <v>0</v>
      </c>
    </row>
    <row r="74" spans="1:30" x14ac:dyDescent="0.25">
      <c r="A74" s="506"/>
      <c r="B74" s="54">
        <v>3</v>
      </c>
      <c r="C74" s="424" t="s">
        <v>65</v>
      </c>
      <c r="D74" s="408" t="s">
        <v>33</v>
      </c>
      <c r="E74" s="407" t="s">
        <v>34</v>
      </c>
      <c r="F74" s="30"/>
      <c r="G74" s="383" t="s">
        <v>66</v>
      </c>
      <c r="H74" s="41">
        <v>0</v>
      </c>
      <c r="I74" s="37">
        <v>15</v>
      </c>
      <c r="J74" s="45">
        <v>15</v>
      </c>
      <c r="K74" s="34" t="s">
        <v>36</v>
      </c>
      <c r="L74" s="504"/>
      <c r="M74" s="474"/>
      <c r="N74" s="474"/>
      <c r="O74" s="475"/>
      <c r="P74" s="368">
        <f>IF(OR(J74="",G74=Paramétrage!$D$9,G74=Paramétrage!$D$12,G74=Paramétrage!$D$15,G74=Paramétrage!$D$18,G74=Paramétrage!$D$22,G74=Paramétrage!$D$25,AND(G74&lt;&gt;Paramétrage!$D$9,K74="Mut+ext")),0,ROUNDUP(I74/J74,0))</f>
        <v>0</v>
      </c>
      <c r="Q74" s="17">
        <f>IF(OR(G74="",K74="Mut+ext"),0,IF(VLOOKUP(G74,Paramétrage!$D$6:$F$27,3,0)=0,0,IF(J74="","saisir capacité",H74*P74*VLOOKUP(G74,Paramétrage!$D$6:$F$27,2,0))))</f>
        <v>0</v>
      </c>
      <c r="R74" s="33">
        <v>120</v>
      </c>
      <c r="S74" s="15">
        <f t="shared" si="17"/>
        <v>120</v>
      </c>
      <c r="T74" s="27">
        <f>IF(G74="",0,IF(ISERROR(R74+Q74*VLOOKUP(G74,Paramétrage!$D$6:$F$27,3,0))=TRUE,S74,R74+Q74*VLOOKUP(G74,Paramétrage!$D$6:$F$27,3,0)))</f>
        <v>120</v>
      </c>
      <c r="U74" s="37">
        <v>96</v>
      </c>
      <c r="V74" s="37"/>
      <c r="W74" s="37">
        <v>24</v>
      </c>
      <c r="X74" s="37"/>
      <c r="Y74" s="369">
        <f t="shared" si="16"/>
        <v>120</v>
      </c>
      <c r="Z74" s="476"/>
      <c r="AA74" s="474"/>
      <c r="AB74" s="474"/>
      <c r="AC74" s="470">
        <f t="shared" si="14"/>
        <v>0</v>
      </c>
      <c r="AD74" s="471">
        <f t="shared" si="15"/>
        <v>0</v>
      </c>
    </row>
    <row r="75" spans="1:30" x14ac:dyDescent="0.25">
      <c r="A75" s="506"/>
      <c r="B75" s="54">
        <v>4</v>
      </c>
      <c r="C75" s="413" t="s">
        <v>67</v>
      </c>
      <c r="D75" s="408" t="s">
        <v>33</v>
      </c>
      <c r="E75" s="49" t="s">
        <v>34</v>
      </c>
      <c r="F75" s="30"/>
      <c r="G75" s="383" t="s">
        <v>37</v>
      </c>
      <c r="H75" s="41">
        <v>2</v>
      </c>
      <c r="I75" s="38">
        <v>15</v>
      </c>
      <c r="J75" s="45">
        <v>15</v>
      </c>
      <c r="K75" s="34" t="s">
        <v>36</v>
      </c>
      <c r="L75" s="474"/>
      <c r="M75" s="474"/>
      <c r="N75" s="474"/>
      <c r="O75" s="475"/>
      <c r="P75" s="368">
        <f>IF(OR(J75="",G75=Paramétrage!$D$9,G75=Paramétrage!$D$12,G75=Paramétrage!$D$15,G75=Paramétrage!$D$18,G75=Paramétrage!$D$22,G75=Paramétrage!$D$25,AND(G75&lt;&gt;Paramétrage!$D$9,K75="Mut+ext")),0,ROUNDUP(I75/J75,0))</f>
        <v>1</v>
      </c>
      <c r="Q75" s="17">
        <f>IF(OR(G75="",K75="Mut+ext"),0,IF(VLOOKUP(G75,Paramétrage!$D$6:$F$27,3,0)=0,0,IF(J75="","saisir capacité",H75*P75*VLOOKUP(G75,Paramétrage!$D$6:$F$27,2,0))))</f>
        <v>2</v>
      </c>
      <c r="R75" s="33"/>
      <c r="S75" s="15">
        <f t="shared" si="17"/>
        <v>2</v>
      </c>
      <c r="T75" s="27">
        <f>IF(G75="",0,IF(ISERROR(R75+Q75*VLOOKUP(G75,Paramétrage!$D$6:$F$27,3,0))=TRUE,S75,R75+Q75*VLOOKUP(G75,Paramétrage!$D$6:$F$27,3,0)))</f>
        <v>2</v>
      </c>
      <c r="U75" s="37">
        <v>2</v>
      </c>
      <c r="V75" s="37"/>
      <c r="W75" s="37"/>
      <c r="X75" s="37"/>
      <c r="Y75" s="369">
        <f t="shared" si="16"/>
        <v>2</v>
      </c>
      <c r="Z75" s="476"/>
      <c r="AA75" s="474"/>
      <c r="AB75" s="474"/>
      <c r="AC75" s="470">
        <f t="shared" si="14"/>
        <v>2</v>
      </c>
      <c r="AD75" s="471">
        <f t="shared" si="15"/>
        <v>30</v>
      </c>
    </row>
    <row r="76" spans="1:30" x14ac:dyDescent="0.25">
      <c r="A76" s="506"/>
      <c r="B76" s="54"/>
      <c r="C76" s="413"/>
      <c r="D76" s="408"/>
      <c r="E76" s="49"/>
      <c r="F76" s="30"/>
      <c r="G76" s="31"/>
      <c r="H76" s="41"/>
      <c r="I76" s="37"/>
      <c r="J76" s="45"/>
      <c r="K76" s="34"/>
      <c r="L76" s="474"/>
      <c r="M76" s="474"/>
      <c r="N76" s="474"/>
      <c r="O76" s="475"/>
      <c r="P76" s="368">
        <f>IF(OR(J76="",G76=Paramétrage!$D$9,G76=Paramétrage!$D$12,G76=Paramétrage!$D$15,G76=Paramétrage!$D$18,G76=Paramétrage!$D$22,G76=Paramétrage!$D$25,AND(G76&lt;&gt;Paramétrage!$D$9,K76="Mut+ext")),0,ROUNDUP(I76/J76,0))</f>
        <v>0</v>
      </c>
      <c r="Q76" s="17">
        <f>IF(OR(G76="",K76="Mut+ext"),0,IF(VLOOKUP(G76,Paramétrage!$D$6:$F$27,3,0)=0,0,IF(J76="","saisir capacité",H76*P76*VLOOKUP(G76,Paramétrage!$D$6:$F$27,2,0))))</f>
        <v>0</v>
      </c>
      <c r="R76" s="33"/>
      <c r="S76" s="15">
        <f t="shared" si="17"/>
        <v>0</v>
      </c>
      <c r="T76" s="27">
        <f>IF(G76="",0,IF(ISERROR(R76+Q76*VLOOKUP(G76,Paramétrage!$D$6:$F$27,3,0))=TRUE,S76,R76+Q76*VLOOKUP(G76,Paramétrage!$D$6:$F$27,3,0)))</f>
        <v>0</v>
      </c>
      <c r="U76" s="37"/>
      <c r="V76" s="37"/>
      <c r="W76" s="37"/>
      <c r="X76" s="37"/>
      <c r="Y76" s="369">
        <f t="shared" si="16"/>
        <v>0</v>
      </c>
      <c r="Z76" s="476"/>
      <c r="AA76" s="474"/>
      <c r="AB76" s="474"/>
      <c r="AC76" s="470">
        <f t="shared" si="14"/>
        <v>0</v>
      </c>
      <c r="AD76" s="471">
        <f t="shared" si="15"/>
        <v>0</v>
      </c>
    </row>
    <row r="77" spans="1:30" x14ac:dyDescent="0.25">
      <c r="A77" s="506"/>
      <c r="B77" s="54"/>
      <c r="C77" s="29"/>
      <c r="D77" s="408"/>
      <c r="E77" s="49"/>
      <c r="F77" s="30"/>
      <c r="G77" s="31"/>
      <c r="H77" s="41"/>
      <c r="I77" s="37"/>
      <c r="J77" s="45"/>
      <c r="K77" s="34"/>
      <c r="L77" s="474"/>
      <c r="M77" s="474"/>
      <c r="N77" s="474"/>
      <c r="O77" s="475"/>
      <c r="P77" s="368">
        <f>IF(OR(J77="",G77=Paramétrage!$D$9,G77=Paramétrage!$D$12,G77=Paramétrage!$D$15,G77=Paramétrage!$D$18,G77=Paramétrage!$D$22,G77=Paramétrage!$D$25,AND(G77&lt;&gt;Paramétrage!$D$9,K77="Mut+ext")),0,ROUNDUP(I77/J77,0))</f>
        <v>0</v>
      </c>
      <c r="Q77" s="17">
        <f>IF(OR(G77="",K77="Mut+ext"),0,IF(VLOOKUP(G77,Paramétrage!$D$6:$F$27,3,0)=0,0,IF(J77="","saisir capacité",H77*P77*VLOOKUP(G77,Paramétrage!$D$6:$F$27,2,0))))</f>
        <v>0</v>
      </c>
      <c r="R77" s="33"/>
      <c r="S77" s="15">
        <f t="shared" si="17"/>
        <v>0</v>
      </c>
      <c r="T77" s="27">
        <f>IF(G77="",0,IF(ISERROR(R77+Q77*VLOOKUP(G77,Paramétrage!$D$6:$F$27,3,0))=TRUE,S77,R77+Q77*VLOOKUP(G77,Paramétrage!$D$6:$F$27,3,0)))</f>
        <v>0</v>
      </c>
      <c r="U77" s="37"/>
      <c r="V77" s="37"/>
      <c r="W77" s="37"/>
      <c r="X77" s="37"/>
      <c r="Y77" s="369">
        <f t="shared" si="16"/>
        <v>0</v>
      </c>
      <c r="Z77" s="476"/>
      <c r="AA77" s="474"/>
      <c r="AB77" s="474"/>
      <c r="AC77" s="470">
        <f t="shared" si="14"/>
        <v>0</v>
      </c>
      <c r="AD77" s="471">
        <f t="shared" si="15"/>
        <v>0</v>
      </c>
    </row>
    <row r="78" spans="1:30" x14ac:dyDescent="0.25">
      <c r="A78" s="506"/>
      <c r="B78" s="54"/>
      <c r="C78" s="29"/>
      <c r="D78" s="408"/>
      <c r="E78" s="49"/>
      <c r="F78" s="30"/>
      <c r="G78" s="31"/>
      <c r="H78" s="41"/>
      <c r="I78" s="37"/>
      <c r="J78" s="45"/>
      <c r="K78" s="34"/>
      <c r="L78" s="474"/>
      <c r="M78" s="474"/>
      <c r="N78" s="474"/>
      <c r="O78" s="475"/>
      <c r="P78" s="368">
        <f>IF(OR(J78="",G78=Paramétrage!$D$9,G78=Paramétrage!$D$12,G78=Paramétrage!$D$15,G78=Paramétrage!$D$18,G78=Paramétrage!$D$22,G78=Paramétrage!$D$25,AND(G78&lt;&gt;Paramétrage!$D$9,K78="Mut+ext")),0,ROUNDUP(I78/J78,0))</f>
        <v>0</v>
      </c>
      <c r="Q78" s="17">
        <f>IF(OR(G78="",K78="Mut+ext"),0,IF(VLOOKUP(G78,Paramétrage!$D$6:$F$27,3,0)=0,0,IF(J78="","saisir capacité",H78*P78*VLOOKUP(G78,Paramétrage!$D$6:$F$27,2,0))))</f>
        <v>0</v>
      </c>
      <c r="R78" s="33"/>
      <c r="S78" s="15">
        <f t="shared" si="17"/>
        <v>0</v>
      </c>
      <c r="T78" s="27">
        <f>IF(G78="",0,IF(ISERROR(R78+Q78*VLOOKUP(G78,Paramétrage!$D$6:$F$27,3,0))=TRUE,S78,R78+Q78*VLOOKUP(G78,Paramétrage!$D$6:$F$27,3,0)))</f>
        <v>0</v>
      </c>
      <c r="U78" s="37"/>
      <c r="V78" s="37"/>
      <c r="W78" s="37"/>
      <c r="X78" s="37"/>
      <c r="Y78" s="369">
        <f t="shared" si="16"/>
        <v>0</v>
      </c>
      <c r="Z78" s="476"/>
      <c r="AA78" s="474"/>
      <c r="AB78" s="474"/>
      <c r="AC78" s="470">
        <f t="shared" si="14"/>
        <v>0</v>
      </c>
      <c r="AD78" s="471">
        <f t="shared" si="15"/>
        <v>0</v>
      </c>
    </row>
    <row r="79" spans="1:30" x14ac:dyDescent="0.25">
      <c r="A79" s="506"/>
      <c r="B79" s="54"/>
      <c r="C79" s="29"/>
      <c r="D79" s="408"/>
      <c r="E79" s="49"/>
      <c r="F79" s="30"/>
      <c r="G79" s="31"/>
      <c r="H79" s="41"/>
      <c r="I79" s="37"/>
      <c r="J79" s="45"/>
      <c r="K79" s="34"/>
      <c r="L79" s="474"/>
      <c r="M79" s="474"/>
      <c r="N79" s="474"/>
      <c r="O79" s="475"/>
      <c r="P79" s="368">
        <f>IF(OR(J79="",G79=Paramétrage!$D$9,G79=Paramétrage!$D$12,G79=Paramétrage!$D$15,G79=Paramétrage!$D$18,G79=Paramétrage!$D$22,G79=Paramétrage!$D$25,AND(G79&lt;&gt;Paramétrage!$D$9,K79="Mut+ext")),0,ROUNDUP(I79/J79,0))</f>
        <v>0</v>
      </c>
      <c r="Q79" s="17">
        <f>IF(OR(G79="",K79="Mut+ext"),0,IF(VLOOKUP(G79,Paramétrage!$D$6:$F$27,3,0)=0,0,IF(J79="","saisir capacité",H79*P79*VLOOKUP(G79,Paramétrage!$D$6:$F$27,2,0))))</f>
        <v>0</v>
      </c>
      <c r="R79" s="33"/>
      <c r="S79" s="15">
        <f t="shared" si="17"/>
        <v>0</v>
      </c>
      <c r="T79" s="27">
        <f>IF(G79="",0,IF(ISERROR(R79+Q79*VLOOKUP(G79,Paramétrage!$D$6:$F$27,3,0))=TRUE,S79,R79+Q79*VLOOKUP(G79,Paramétrage!$D$6:$F$27,3,0)))</f>
        <v>0</v>
      </c>
      <c r="U79" s="37"/>
      <c r="V79" s="37"/>
      <c r="W79" s="37"/>
      <c r="X79" s="37"/>
      <c r="Y79" s="369">
        <f t="shared" si="16"/>
        <v>0</v>
      </c>
      <c r="Z79" s="476"/>
      <c r="AA79" s="474"/>
      <c r="AB79" s="474"/>
      <c r="AC79" s="470">
        <f t="shared" si="14"/>
        <v>0</v>
      </c>
      <c r="AD79" s="471">
        <f t="shared" si="15"/>
        <v>0</v>
      </c>
    </row>
    <row r="80" spans="1:30" x14ac:dyDescent="0.25">
      <c r="A80" s="506"/>
      <c r="B80" s="54"/>
      <c r="C80" s="29"/>
      <c r="D80" s="408"/>
      <c r="E80" s="49"/>
      <c r="F80" s="30"/>
      <c r="G80" s="31"/>
      <c r="H80" s="41"/>
      <c r="I80" s="37"/>
      <c r="J80" s="45"/>
      <c r="K80" s="34"/>
      <c r="L80" s="474"/>
      <c r="M80" s="474"/>
      <c r="N80" s="474"/>
      <c r="O80" s="475"/>
      <c r="P80" s="368">
        <f>IF(OR(J80="",G80=Paramétrage!$D$9,G80=Paramétrage!$D$12,G80=Paramétrage!$D$15,G80=Paramétrage!$D$18,G80=Paramétrage!$D$22,G80=Paramétrage!$D$25,AND(G80&lt;&gt;Paramétrage!$D$9,K80="Mut+ext")),0,ROUNDUP(I80/J80,0))</f>
        <v>0</v>
      </c>
      <c r="Q80" s="17">
        <f>IF(OR(G80="",K80="Mut+ext"),0,IF(VLOOKUP(G80,Paramétrage!$D$6:$F$27,3,0)=0,0,IF(J80="","saisir capacité",H80*P80*VLOOKUP(G80,Paramétrage!$D$6:$F$27,2,0))))</f>
        <v>0</v>
      </c>
      <c r="R80" s="33"/>
      <c r="S80" s="15">
        <f t="shared" si="17"/>
        <v>0</v>
      </c>
      <c r="T80" s="27">
        <f>IF(G80="",0,IF(ISERROR(R80+Q80*VLOOKUP(G80,Paramétrage!$D$6:$F$27,3,0))=TRUE,S80,R80+Q80*VLOOKUP(G80,Paramétrage!$D$6:$F$27,3,0)))</f>
        <v>0</v>
      </c>
      <c r="U80" s="37"/>
      <c r="V80" s="37"/>
      <c r="W80" s="37"/>
      <c r="X80" s="37"/>
      <c r="Y80" s="369">
        <f t="shared" si="16"/>
        <v>0</v>
      </c>
      <c r="Z80" s="476"/>
      <c r="AA80" s="474"/>
      <c r="AB80" s="474"/>
      <c r="AC80" s="470">
        <f t="shared" si="14"/>
        <v>0</v>
      </c>
      <c r="AD80" s="471">
        <f t="shared" si="15"/>
        <v>0</v>
      </c>
    </row>
    <row r="81" spans="1:30" x14ac:dyDescent="0.25">
      <c r="A81" s="506"/>
      <c r="B81" s="54"/>
      <c r="C81" s="29"/>
      <c r="D81" s="408"/>
      <c r="E81" s="49"/>
      <c r="F81" s="30"/>
      <c r="G81" s="31"/>
      <c r="H81" s="41"/>
      <c r="I81" s="37"/>
      <c r="J81" s="45"/>
      <c r="K81" s="34"/>
      <c r="L81" s="474"/>
      <c r="M81" s="474"/>
      <c r="N81" s="474"/>
      <c r="O81" s="475"/>
      <c r="P81" s="368">
        <f>IF(OR(J81="",G81=Paramétrage!$D$9,G81=Paramétrage!$D$12,G81=Paramétrage!$D$15,G81=Paramétrage!$D$18,G81=Paramétrage!$D$22,G81=Paramétrage!$D$25,AND(G81&lt;&gt;Paramétrage!$D$9,K81="Mut+ext")),0,ROUNDUP(I81/J81,0))</f>
        <v>0</v>
      </c>
      <c r="Q81" s="17">
        <f>IF(OR(G81="",K81="Mut+ext"),0,IF(VLOOKUP(G81,Paramétrage!$D$6:$F$27,3,0)=0,0,IF(J81="","saisir capacité",H81*P81*VLOOKUP(G81,Paramétrage!$D$6:$F$27,2,0))))</f>
        <v>0</v>
      </c>
      <c r="R81" s="33"/>
      <c r="S81" s="15">
        <f t="shared" si="17"/>
        <v>0</v>
      </c>
      <c r="T81" s="27">
        <f>IF(G81="",0,IF(ISERROR(R81+Q81*VLOOKUP(G81,Paramétrage!$D$6:$F$27,3,0))=TRUE,S81,R81+Q81*VLOOKUP(G81,Paramétrage!$D$6:$F$27,3,0)))</f>
        <v>0</v>
      </c>
      <c r="U81" s="37"/>
      <c r="V81" s="37"/>
      <c r="W81" s="37"/>
      <c r="X81" s="37"/>
      <c r="Y81" s="369">
        <f t="shared" si="16"/>
        <v>0</v>
      </c>
      <c r="Z81" s="476"/>
      <c r="AA81" s="474"/>
      <c r="AB81" s="474"/>
      <c r="AC81" s="470">
        <f t="shared" si="14"/>
        <v>0</v>
      </c>
      <c r="AD81" s="471">
        <f t="shared" si="15"/>
        <v>0</v>
      </c>
    </row>
    <row r="82" spans="1:30" x14ac:dyDescent="0.25">
      <c r="A82" s="506"/>
      <c r="B82" s="54"/>
      <c r="C82" s="29"/>
      <c r="D82" s="408"/>
      <c r="E82" s="49"/>
      <c r="F82" s="30"/>
      <c r="G82" s="31"/>
      <c r="H82" s="41"/>
      <c r="I82" s="37"/>
      <c r="J82" s="45"/>
      <c r="K82" s="34"/>
      <c r="L82" s="474"/>
      <c r="M82" s="474"/>
      <c r="N82" s="474"/>
      <c r="O82" s="475"/>
      <c r="P82" s="368">
        <f>IF(OR(J82="",G82=Paramétrage!$D$9,G82=Paramétrage!$D$12,G82=Paramétrage!$D$15,G82=Paramétrage!$D$18,G82=Paramétrage!$D$22,G82=Paramétrage!$D$25,AND(G82&lt;&gt;Paramétrage!$D$9,K82="Mut+ext")),0,ROUNDUP(I82/J82,0))</f>
        <v>0</v>
      </c>
      <c r="Q82" s="17">
        <f>IF(OR(G82="",K82="Mut+ext"),0,IF(VLOOKUP(G82,Paramétrage!$D$6:$F$27,3,0)=0,0,IF(J82="","saisir capacité",H82*P82*VLOOKUP(G82,Paramétrage!$D$6:$F$27,2,0))))</f>
        <v>0</v>
      </c>
      <c r="R82" s="33"/>
      <c r="S82" s="15">
        <f t="shared" si="17"/>
        <v>0</v>
      </c>
      <c r="T82" s="27">
        <f>IF(G82="",0,IF(ISERROR(R82+Q82*VLOOKUP(G82,Paramétrage!$D$6:$F$27,3,0))=TRUE,S82,R82+Q82*VLOOKUP(G82,Paramétrage!$D$6:$F$27,3,0)))</f>
        <v>0</v>
      </c>
      <c r="U82" s="37"/>
      <c r="V82" s="37"/>
      <c r="W82" s="37"/>
      <c r="X82" s="37"/>
      <c r="Y82" s="369">
        <f t="shared" si="16"/>
        <v>0</v>
      </c>
      <c r="Z82" s="476"/>
      <c r="AA82" s="474"/>
      <c r="AB82" s="474"/>
      <c r="AC82" s="470">
        <f t="shared" si="14"/>
        <v>0</v>
      </c>
      <c r="AD82" s="471">
        <f t="shared" si="15"/>
        <v>0</v>
      </c>
    </row>
    <row r="83" spans="1:30" x14ac:dyDescent="0.25">
      <c r="A83" s="506"/>
      <c r="B83" s="54"/>
      <c r="C83" s="29"/>
      <c r="D83" s="408"/>
      <c r="E83" s="49"/>
      <c r="F83" s="30"/>
      <c r="G83" s="31"/>
      <c r="H83" s="41"/>
      <c r="I83" s="37"/>
      <c r="J83" s="45"/>
      <c r="K83" s="34"/>
      <c r="L83" s="474"/>
      <c r="M83" s="474"/>
      <c r="N83" s="474"/>
      <c r="O83" s="475"/>
      <c r="P83" s="368">
        <f>IF(OR(J83="",G83=Paramétrage!$D$9,G83=Paramétrage!$D$12,G83=Paramétrage!$D$15,G83=Paramétrage!$D$18,G83=Paramétrage!$D$22,G83=Paramétrage!$D$25,AND(G83&lt;&gt;Paramétrage!$D$9,K83="Mut+ext")),0,ROUNDUP(I83/J83,0))</f>
        <v>0</v>
      </c>
      <c r="Q83" s="17">
        <f>IF(OR(G83="",K83="Mut+ext"),0,IF(VLOOKUP(G83,Paramétrage!$D$6:$F$27,3,0)=0,0,IF(J83="","saisir capacité",H83*P83*VLOOKUP(G83,Paramétrage!$D$6:$F$27,2,0))))</f>
        <v>0</v>
      </c>
      <c r="R83" s="33"/>
      <c r="S83" s="15">
        <f t="shared" si="17"/>
        <v>0</v>
      </c>
      <c r="T83" s="27">
        <f>IF(G83="",0,IF(ISERROR(R83+Q83*VLOOKUP(G83,Paramétrage!$D$6:$F$27,3,0))=TRUE,S83,R83+Q83*VLOOKUP(G83,Paramétrage!$D$6:$F$27,3,0)))</f>
        <v>0</v>
      </c>
      <c r="U83" s="37"/>
      <c r="V83" s="37"/>
      <c r="W83" s="37"/>
      <c r="X83" s="37"/>
      <c r="Y83" s="369">
        <f t="shared" si="16"/>
        <v>0</v>
      </c>
      <c r="Z83" s="476"/>
      <c r="AA83" s="474"/>
      <c r="AB83" s="474"/>
      <c r="AC83" s="470">
        <f t="shared" si="14"/>
        <v>0</v>
      </c>
      <c r="AD83" s="471">
        <f t="shared" si="15"/>
        <v>0</v>
      </c>
    </row>
    <row r="84" spans="1:30" x14ac:dyDescent="0.25">
      <c r="A84" s="506"/>
      <c r="B84" s="54"/>
      <c r="C84" s="29"/>
      <c r="D84" s="408"/>
      <c r="E84" s="49"/>
      <c r="F84" s="30"/>
      <c r="G84" s="31"/>
      <c r="H84" s="41"/>
      <c r="I84" s="37"/>
      <c r="J84" s="45"/>
      <c r="K84" s="34"/>
      <c r="L84" s="474"/>
      <c r="M84" s="474"/>
      <c r="N84" s="474"/>
      <c r="O84" s="475"/>
      <c r="P84" s="368">
        <f>IF(OR(J84="",G84=Paramétrage!$D$9,G84=Paramétrage!$D$12,G84=Paramétrage!$D$15,G84=Paramétrage!$D$18,G84=Paramétrage!$D$22,G84=Paramétrage!$D$25,AND(G84&lt;&gt;Paramétrage!$D$9,K84="Mut+ext")),0,ROUNDUP(I84/J84,0))</f>
        <v>0</v>
      </c>
      <c r="Q84" s="17">
        <f>IF(OR(G84="",K84="Mut+ext"),0,IF(VLOOKUP(G84,Paramétrage!$D$6:$F$27,3,0)=0,0,IF(J84="","saisir capacité",H84*P84*VLOOKUP(G84,Paramétrage!$D$6:$F$27,2,0))))</f>
        <v>0</v>
      </c>
      <c r="R84" s="33"/>
      <c r="S84" s="15">
        <f t="shared" si="17"/>
        <v>0</v>
      </c>
      <c r="T84" s="27">
        <f>IF(G84="",0,IF(ISERROR(R84+Q84*VLOOKUP(G84,Paramétrage!$D$6:$F$27,3,0))=TRUE,S84,R84+Q84*VLOOKUP(G84,Paramétrage!$D$6:$F$27,3,0)))</f>
        <v>0</v>
      </c>
      <c r="U84" s="37"/>
      <c r="V84" s="37"/>
      <c r="W84" s="37"/>
      <c r="X84" s="37"/>
      <c r="Y84" s="369">
        <f t="shared" si="16"/>
        <v>0</v>
      </c>
      <c r="Z84" s="476"/>
      <c r="AA84" s="474"/>
      <c r="AB84" s="474"/>
      <c r="AC84" s="470">
        <f t="shared" si="14"/>
        <v>0</v>
      </c>
      <c r="AD84" s="471">
        <f t="shared" si="15"/>
        <v>0</v>
      </c>
    </row>
    <row r="85" spans="1:30" x14ac:dyDescent="0.25">
      <c r="A85" s="506"/>
      <c r="B85" s="54"/>
      <c r="C85" s="29"/>
      <c r="D85" s="408"/>
      <c r="E85" s="49"/>
      <c r="F85" s="30"/>
      <c r="G85" s="31"/>
      <c r="H85" s="41"/>
      <c r="I85" s="37"/>
      <c r="J85" s="45"/>
      <c r="K85" s="34"/>
      <c r="L85" s="474"/>
      <c r="M85" s="474"/>
      <c r="N85" s="474"/>
      <c r="O85" s="475"/>
      <c r="P85" s="368">
        <f>IF(OR(J85="",G85=Paramétrage!$D$9,G85=Paramétrage!$D$12,G85=Paramétrage!$D$15,G85=Paramétrage!$D$18,G85=Paramétrage!$D$22,G85=Paramétrage!$D$25,AND(G85&lt;&gt;Paramétrage!$D$9,K85="Mut+ext")),0,ROUNDUP(I85/J85,0))</f>
        <v>0</v>
      </c>
      <c r="Q85" s="17">
        <f>IF(OR(G85="",K85="Mut+ext"),0,IF(VLOOKUP(G85,Paramétrage!$D$6:$F$27,3,0)=0,0,IF(J85="","saisir capacité",H85*P85*VLOOKUP(G85,Paramétrage!$D$6:$F$27,2,0))))</f>
        <v>0</v>
      </c>
      <c r="R85" s="33"/>
      <c r="S85" s="15">
        <f t="shared" si="17"/>
        <v>0</v>
      </c>
      <c r="T85" s="27">
        <f>IF(G85="",0,IF(ISERROR(R85+Q85*VLOOKUP(G85,Paramétrage!$D$6:$F$27,3,0))=TRUE,S85,R85+Q85*VLOOKUP(G85,Paramétrage!$D$6:$F$27,3,0)))</f>
        <v>0</v>
      </c>
      <c r="U85" s="37"/>
      <c r="V85" s="37"/>
      <c r="W85" s="37"/>
      <c r="X85" s="37"/>
      <c r="Y85" s="369">
        <f t="shared" si="16"/>
        <v>0</v>
      </c>
      <c r="Z85" s="476"/>
      <c r="AA85" s="474"/>
      <c r="AB85" s="474"/>
      <c r="AC85" s="470">
        <f t="shared" si="14"/>
        <v>0</v>
      </c>
      <c r="AD85" s="471">
        <f t="shared" si="15"/>
        <v>0</v>
      </c>
    </row>
    <row r="86" spans="1:30" x14ac:dyDescent="0.25">
      <c r="A86" s="506"/>
      <c r="B86" s="54"/>
      <c r="C86" s="29"/>
      <c r="D86" s="408"/>
      <c r="E86" s="49"/>
      <c r="F86" s="30"/>
      <c r="G86" s="31"/>
      <c r="H86" s="41"/>
      <c r="I86" s="37"/>
      <c r="J86" s="45"/>
      <c r="K86" s="34"/>
      <c r="L86" s="474"/>
      <c r="M86" s="474"/>
      <c r="N86" s="474"/>
      <c r="O86" s="475"/>
      <c r="P86" s="368">
        <f>IF(OR(J86="",G86=Paramétrage!$D$9,G86=Paramétrage!$D$12,G86=Paramétrage!$D$15,G86=Paramétrage!$D$18,G86=Paramétrage!$D$22,G86=Paramétrage!$D$25,AND(G86&lt;&gt;Paramétrage!$D$9,K86="Mut+ext")),0,ROUNDUP(I86/J86,0))</f>
        <v>0</v>
      </c>
      <c r="Q86" s="17">
        <f>IF(OR(G86="",K86="Mut+ext"),0,IF(VLOOKUP(G86,Paramétrage!$D$6:$F$27,3,0)=0,0,IF(J86="","saisir capacité",H86*P86*VLOOKUP(G86,Paramétrage!$D$6:$F$27,2,0))))</f>
        <v>0</v>
      </c>
      <c r="R86" s="33"/>
      <c r="S86" s="15">
        <f t="shared" si="17"/>
        <v>0</v>
      </c>
      <c r="T86" s="27">
        <f>IF(G86="",0,IF(ISERROR(R86+Q86*VLOOKUP(G86,Paramétrage!$D$6:$F$27,3,0))=TRUE,S86,R86+Q86*VLOOKUP(G86,Paramétrage!$D$6:$F$27,3,0)))</f>
        <v>0</v>
      </c>
      <c r="U86" s="39"/>
      <c r="V86" s="39"/>
      <c r="W86" s="39"/>
      <c r="X86" s="39"/>
      <c r="Y86" s="369">
        <f t="shared" si="16"/>
        <v>0</v>
      </c>
      <c r="Z86" s="476"/>
      <c r="AA86" s="474"/>
      <c r="AB86" s="474"/>
      <c r="AC86" s="470">
        <f t="shared" si="14"/>
        <v>0</v>
      </c>
      <c r="AD86" s="471">
        <f t="shared" si="15"/>
        <v>0</v>
      </c>
    </row>
    <row r="87" spans="1:30" x14ac:dyDescent="0.25">
      <c r="A87" s="506"/>
      <c r="B87" s="54"/>
      <c r="C87" s="29"/>
      <c r="D87" s="408"/>
      <c r="E87" s="49"/>
      <c r="F87" s="30"/>
      <c r="G87" s="31"/>
      <c r="H87" s="41"/>
      <c r="I87" s="37"/>
      <c r="J87" s="45"/>
      <c r="K87" s="34"/>
      <c r="L87" s="474"/>
      <c r="M87" s="474"/>
      <c r="N87" s="474"/>
      <c r="O87" s="475"/>
      <c r="P87" s="368">
        <f>IF(OR(J87="",G87=Paramétrage!$D$9,G87=Paramétrage!$D$12,G87=Paramétrage!$D$15,G87=Paramétrage!$D$18,G87=Paramétrage!$D$22,G87=Paramétrage!$D$25,AND(G87&lt;&gt;Paramétrage!$D$9,K87="Mut+ext")),0,ROUNDUP(I87/J87,0))</f>
        <v>0</v>
      </c>
      <c r="Q87" s="17">
        <f>IF(OR(G87="",K87="Mut+ext"),0,IF(VLOOKUP(G87,Paramétrage!$D$6:$F$27,3,0)=0,0,IF(J87="","saisir capacité",H87*P87*VLOOKUP(G87,Paramétrage!$D$6:$F$27,2,0))))</f>
        <v>0</v>
      </c>
      <c r="R87" s="33"/>
      <c r="S87" s="15">
        <f t="shared" si="17"/>
        <v>0</v>
      </c>
      <c r="T87" s="27">
        <f>IF(G87="",0,IF(ISERROR(R87+Q87*VLOOKUP(G87,Paramétrage!$D$6:$F$27,3,0))=TRUE,S87,R87+Q87*VLOOKUP(G87,Paramétrage!$D$6:$F$27,3,0)))</f>
        <v>0</v>
      </c>
      <c r="U87" s="38"/>
      <c r="V87" s="38"/>
      <c r="W87" s="38"/>
      <c r="X87" s="38"/>
      <c r="Y87" s="369">
        <f t="shared" si="16"/>
        <v>0</v>
      </c>
      <c r="Z87" s="476"/>
      <c r="AA87" s="474"/>
      <c r="AB87" s="474"/>
      <c r="AC87" s="470">
        <f t="shared" si="14"/>
        <v>0</v>
      </c>
      <c r="AD87" s="471">
        <f t="shared" si="15"/>
        <v>0</v>
      </c>
    </row>
    <row r="88" spans="1:30" ht="16.2" thickBot="1" x14ac:dyDescent="0.3">
      <c r="A88" s="506"/>
      <c r="B88" s="54"/>
      <c r="C88" s="29"/>
      <c r="D88" s="408"/>
      <c r="E88" s="49"/>
      <c r="F88" s="30"/>
      <c r="G88" s="31"/>
      <c r="H88" s="41"/>
      <c r="I88" s="37"/>
      <c r="J88" s="45"/>
      <c r="K88" s="34"/>
      <c r="L88" s="474"/>
      <c r="M88" s="474"/>
      <c r="N88" s="474"/>
      <c r="O88" s="475"/>
      <c r="P88" s="368">
        <f>IF(OR(J88="",G88=Paramétrage!$D$9,G88=Paramétrage!$D$12,G88=Paramétrage!$D$15,G88=Paramétrage!$D$18,G88=Paramétrage!$D$22,G88=Paramétrage!$D$25,AND(G88&lt;&gt;Paramétrage!$D$9,K88="Mut+ext")),0,ROUNDUP(I88/J88,0))</f>
        <v>0</v>
      </c>
      <c r="Q88" s="17">
        <f>IF(OR(G88="",K88="Mut+ext"),0,IF(VLOOKUP(G88,Paramétrage!$D$6:$F$27,3,0)=0,0,IF(J88="","saisir capacité",H88*P88*VLOOKUP(G88,Paramétrage!$D$6:$F$27,2,0))))</f>
        <v>0</v>
      </c>
      <c r="R88" s="33"/>
      <c r="S88" s="15">
        <f t="shared" si="17"/>
        <v>0</v>
      </c>
      <c r="T88" s="27">
        <f>IF(G88="",0,IF(ISERROR(R88+Q88*VLOOKUP(G88,Paramétrage!$D$6:$F$27,3,0))=TRUE,S88,R88+Q88*VLOOKUP(G88,Paramétrage!$D$6:$F$27,3,0)))</f>
        <v>0</v>
      </c>
      <c r="U88" s="37"/>
      <c r="V88" s="37"/>
      <c r="W88" s="37"/>
      <c r="X88" s="37"/>
      <c r="Y88" s="369">
        <f t="shared" si="16"/>
        <v>0</v>
      </c>
      <c r="Z88" s="476"/>
      <c r="AA88" s="474"/>
      <c r="AB88" s="474"/>
      <c r="AC88" s="472">
        <f t="shared" si="14"/>
        <v>0</v>
      </c>
      <c r="AD88" s="473">
        <f t="shared" si="15"/>
        <v>0</v>
      </c>
    </row>
    <row r="89" spans="1:30" ht="16.2" thickBot="1" x14ac:dyDescent="0.3">
      <c r="A89" s="507"/>
      <c r="B89" s="56"/>
      <c r="C89" s="19"/>
      <c r="D89" s="65"/>
      <c r="E89" s="19"/>
      <c r="F89" s="20"/>
      <c r="G89" s="18"/>
      <c r="H89" s="47">
        <f>AC89</f>
        <v>269</v>
      </c>
      <c r="I89" s="42"/>
      <c r="J89" s="46"/>
      <c r="K89" s="51"/>
      <c r="L89" s="62"/>
      <c r="M89" s="62"/>
      <c r="N89" s="62"/>
      <c r="O89" s="63"/>
      <c r="P89" s="391"/>
      <c r="Q89" s="392">
        <f>SUM(Q49:Q88)</f>
        <v>206</v>
      </c>
      <c r="R89" s="363">
        <f>SUM(R49:R88)</f>
        <v>160</v>
      </c>
      <c r="S89" s="393">
        <f>SUM(S49:S88)</f>
        <v>366</v>
      </c>
      <c r="T89" s="66">
        <f>SUM(T49:T88)</f>
        <v>402</v>
      </c>
      <c r="U89" s="393">
        <f t="shared" ref="U89" si="18">SUM(U49:U88)</f>
        <v>168</v>
      </c>
      <c r="V89" s="393">
        <f t="shared" ref="V89" si="19">SUM(V49:V88)</f>
        <v>0</v>
      </c>
      <c r="W89" s="393">
        <f t="shared" ref="W89" si="20">SUM(W49:W88)</f>
        <v>198</v>
      </c>
      <c r="X89" s="393">
        <f t="shared" ref="X89" si="21">SUM(X49:X88)</f>
        <v>0</v>
      </c>
      <c r="Y89" s="393">
        <f t="shared" ref="Y89" si="22">SUM(Y49:Y88)</f>
        <v>366</v>
      </c>
      <c r="Z89" s="373"/>
      <c r="AA89" s="64"/>
      <c r="AB89" s="374"/>
      <c r="AC89" s="466">
        <f>SUM(AC49:AC88)</f>
        <v>269</v>
      </c>
      <c r="AD89" s="467">
        <f>SUM(AD49:AD88)</f>
        <v>4035</v>
      </c>
    </row>
    <row r="90" spans="1:30" ht="16.2" thickBot="1" x14ac:dyDescent="0.3">
      <c r="A90" s="52"/>
      <c r="B90" s="21"/>
      <c r="C90" s="21"/>
      <c r="D90" s="21"/>
      <c r="E90" s="21"/>
      <c r="F90" s="21"/>
      <c r="G90" s="22"/>
      <c r="H90" s="48">
        <f>ROUND(H48+H89,1)</f>
        <v>508</v>
      </c>
      <c r="I90" s="23"/>
      <c r="J90" s="24"/>
      <c r="K90" s="23"/>
      <c r="L90" s="23"/>
      <c r="M90" s="23"/>
      <c r="N90" s="23"/>
      <c r="O90" s="35"/>
      <c r="P90" s="44"/>
      <c r="Q90" s="67">
        <f>Q48+Q89</f>
        <v>434</v>
      </c>
      <c r="R90" s="67">
        <f t="shared" ref="R90:T90" si="23">R48+R89</f>
        <v>181</v>
      </c>
      <c r="S90" s="67">
        <f t="shared" si="23"/>
        <v>615</v>
      </c>
      <c r="T90" s="67">
        <f t="shared" si="23"/>
        <v>696.5</v>
      </c>
    </row>
    <row r="91" spans="1:30" ht="18" customHeight="1" x14ac:dyDescent="0.25">
      <c r="M91" s="25"/>
    </row>
  </sheetData>
  <sheetProtection algorithmName="SHA-512" hashValue="XXkzecOlWmaNiLkegvIfg1/+xpv7PEHPlntBqKXWSWKJtKLedcpUO3DOGRKyWNr+YhAUzpPTttAwX0RuoHbvIQ==" saltValue="TjXVZ8rNdezqkxGmEo4u5w==" spinCount="100000" sheet="1" formatCells="0" formatRows="0" autoFilter="0"/>
  <mergeCells count="178">
    <mergeCell ref="AD6:AD7"/>
    <mergeCell ref="L28:O28"/>
    <mergeCell ref="L42:O42"/>
    <mergeCell ref="L43:O43"/>
    <mergeCell ref="L44:O44"/>
    <mergeCell ref="L45:O45"/>
    <mergeCell ref="L46:O46"/>
    <mergeCell ref="L47:O47"/>
    <mergeCell ref="Z11:AB11"/>
    <mergeCell ref="Z24:AB24"/>
    <mergeCell ref="Z25:AB25"/>
    <mergeCell ref="Z26:AB26"/>
    <mergeCell ref="Z20:AB20"/>
    <mergeCell ref="Z21:AB21"/>
    <mergeCell ref="Z22:AB22"/>
    <mergeCell ref="Z23:AB23"/>
    <mergeCell ref="L8:O8"/>
    <mergeCell ref="L24:O24"/>
    <mergeCell ref="L11:O11"/>
    <mergeCell ref="Z30:AB30"/>
    <mergeCell ref="Z38:AB38"/>
    <mergeCell ref="Z39:AB39"/>
    <mergeCell ref="Z40:AB40"/>
    <mergeCell ref="Z41:AB41"/>
    <mergeCell ref="L74:O74"/>
    <mergeCell ref="L68:O68"/>
    <mergeCell ref="L66:O66"/>
    <mergeCell ref="H6:H7"/>
    <mergeCell ref="A8:A48"/>
    <mergeCell ref="A49:A89"/>
    <mergeCell ref="L50:O50"/>
    <mergeCell ref="L63:O63"/>
    <mergeCell ref="AC6:AC7"/>
    <mergeCell ref="B49:C49"/>
    <mergeCell ref="B63:C63"/>
    <mergeCell ref="L16:O16"/>
    <mergeCell ref="Z32:AB32"/>
    <mergeCell ref="Z77:AB77"/>
    <mergeCell ref="L13:O13"/>
    <mergeCell ref="L17:O17"/>
    <mergeCell ref="L18:O18"/>
    <mergeCell ref="L19:O19"/>
    <mergeCell ref="L20:O20"/>
    <mergeCell ref="L21:O21"/>
    <mergeCell ref="L22:O22"/>
    <mergeCell ref="Z28:AB28"/>
    <mergeCell ref="Z29:AB29"/>
    <mergeCell ref="L71:O71"/>
    <mergeCell ref="B6:B7"/>
    <mergeCell ref="L69:O69"/>
    <mergeCell ref="K6:K7"/>
    <mergeCell ref="C6:C7"/>
    <mergeCell ref="E6:E7"/>
    <mergeCell ref="F6:F7"/>
    <mergeCell ref="L6:O7"/>
    <mergeCell ref="G6:G7"/>
    <mergeCell ref="I6:I7"/>
    <mergeCell ref="J6:J7"/>
    <mergeCell ref="L23:O23"/>
    <mergeCell ref="L12:O12"/>
    <mergeCell ref="D6:D7"/>
    <mergeCell ref="L14:O14"/>
    <mergeCell ref="L15:O15"/>
    <mergeCell ref="L10:O10"/>
    <mergeCell ref="L9:O9"/>
    <mergeCell ref="Z33:AB33"/>
    <mergeCell ref="Z34:AB34"/>
    <mergeCell ref="Z27:AB27"/>
    <mergeCell ref="L49:O49"/>
    <mergeCell ref="L25:O25"/>
    <mergeCell ref="L26:O26"/>
    <mergeCell ref="L67:O67"/>
    <mergeCell ref="L64:O64"/>
    <mergeCell ref="L65:O65"/>
    <mergeCell ref="L27:O27"/>
    <mergeCell ref="L29:O29"/>
    <mergeCell ref="L30:O30"/>
    <mergeCell ref="L55:O55"/>
    <mergeCell ref="L40:O40"/>
    <mergeCell ref="L41:O41"/>
    <mergeCell ref="L51:O51"/>
    <mergeCell ref="L52:O52"/>
    <mergeCell ref="L53:O53"/>
    <mergeCell ref="L54:O54"/>
    <mergeCell ref="L31:O31"/>
    <mergeCell ref="L32:O32"/>
    <mergeCell ref="L33:O33"/>
    <mergeCell ref="L34:O34"/>
    <mergeCell ref="Z58:AB58"/>
    <mergeCell ref="Z71:AB71"/>
    <mergeCell ref="L70:O70"/>
    <mergeCell ref="Z55:AB55"/>
    <mergeCell ref="Z74:AB74"/>
    <mergeCell ref="Z6:AB7"/>
    <mergeCell ref="Z8:AB8"/>
    <mergeCell ref="Z9:AB9"/>
    <mergeCell ref="Z10:AB10"/>
    <mergeCell ref="Z12:AB12"/>
    <mergeCell ref="Z13:AB13"/>
    <mergeCell ref="Z17:AB17"/>
    <mergeCell ref="Z18:AB18"/>
    <mergeCell ref="Z19:AB19"/>
    <mergeCell ref="Z14:AB14"/>
    <mergeCell ref="Z15:AB15"/>
    <mergeCell ref="Z16:AB16"/>
    <mergeCell ref="Z31:AB31"/>
    <mergeCell ref="Z51:AB51"/>
    <mergeCell ref="Z52:AB52"/>
    <mergeCell ref="Z53:AB53"/>
    <mergeCell ref="Z54:AB54"/>
    <mergeCell ref="Z35:AB35"/>
    <mergeCell ref="Z36:AB36"/>
    <mergeCell ref="Z37:AB37"/>
    <mergeCell ref="Z59:AB59"/>
    <mergeCell ref="Z60:AB60"/>
    <mergeCell ref="Z61:AB61"/>
    <mergeCell ref="Z62:AB62"/>
    <mergeCell ref="Z75:AB75"/>
    <mergeCell ref="Z76:AB76"/>
    <mergeCell ref="L35:O35"/>
    <mergeCell ref="L36:O36"/>
    <mergeCell ref="L37:O37"/>
    <mergeCell ref="L38:O38"/>
    <mergeCell ref="L39:O39"/>
    <mergeCell ref="L56:O56"/>
    <mergeCell ref="L57:O57"/>
    <mergeCell ref="L58:O58"/>
    <mergeCell ref="L59:O59"/>
    <mergeCell ref="L60:O60"/>
    <mergeCell ref="L61:O61"/>
    <mergeCell ref="L62:O62"/>
    <mergeCell ref="L72:O72"/>
    <mergeCell ref="Z72:AB72"/>
    <mergeCell ref="L73:O73"/>
    <mergeCell ref="Z73:AB73"/>
    <mergeCell ref="Z70:AB70"/>
    <mergeCell ref="L75:O75"/>
    <mergeCell ref="Z88:AB88"/>
    <mergeCell ref="L85:O85"/>
    <mergeCell ref="L88:O88"/>
    <mergeCell ref="L84:O84"/>
    <mergeCell ref="L86:O86"/>
    <mergeCell ref="Z80:AB80"/>
    <mergeCell ref="Z81:AB81"/>
    <mergeCell ref="Z42:AB42"/>
    <mergeCell ref="Z43:AB43"/>
    <mergeCell ref="Z44:AB44"/>
    <mergeCell ref="Z45:AB45"/>
    <mergeCell ref="Z46:AB46"/>
    <mergeCell ref="Z47:AB47"/>
    <mergeCell ref="Z49:AB49"/>
    <mergeCell ref="Z50:AB50"/>
    <mergeCell ref="Z63:AB63"/>
    <mergeCell ref="Z64:AB64"/>
    <mergeCell ref="Z65:AB65"/>
    <mergeCell ref="Z66:AB66"/>
    <mergeCell ref="Z67:AB67"/>
    <mergeCell ref="Z68:AB68"/>
    <mergeCell ref="Z69:AB69"/>
    <mergeCell ref="Z56:AB56"/>
    <mergeCell ref="Z57:AB57"/>
    <mergeCell ref="L76:O76"/>
    <mergeCell ref="Z82:AB82"/>
    <mergeCell ref="L83:O83"/>
    <mergeCell ref="Z83:AB83"/>
    <mergeCell ref="Z84:AB84"/>
    <mergeCell ref="Z85:AB85"/>
    <mergeCell ref="Z86:AB86"/>
    <mergeCell ref="Z87:AB87"/>
    <mergeCell ref="Z78:AB78"/>
    <mergeCell ref="Z79:AB79"/>
    <mergeCell ref="L79:O79"/>
    <mergeCell ref="L80:O80"/>
    <mergeCell ref="L81:O81"/>
    <mergeCell ref="L82:O82"/>
    <mergeCell ref="L87:O87"/>
    <mergeCell ref="L77:O77"/>
    <mergeCell ref="L78:O78"/>
  </mergeCells>
  <conditionalFormatting sqref="Z8 Z25:Z27 Z85:Z88 Z35:Z47">
    <cfRule type="expression" dxfId="79" priority="386">
      <formula>$G8=#REF!</formula>
    </cfRule>
    <cfRule type="expression" dxfId="78" priority="387">
      <formula>$G8=#REF!</formula>
    </cfRule>
    <cfRule type="expression" dxfId="77" priority="388">
      <formula>$G8=#REF!</formula>
    </cfRule>
    <cfRule type="expression" dxfId="76" priority="389">
      <formula>$G8=#REF!</formula>
    </cfRule>
  </conditionalFormatting>
  <conditionalFormatting sqref="Z9:Z11">
    <cfRule type="expression" dxfId="75" priority="352">
      <formula>$G9=#REF!</formula>
    </cfRule>
    <cfRule type="expression" dxfId="74" priority="353">
      <formula>$G9=#REF!</formula>
    </cfRule>
    <cfRule type="expression" dxfId="73" priority="354">
      <formula>$G9=#REF!</formula>
    </cfRule>
    <cfRule type="expression" dxfId="72" priority="355">
      <formula>$G9=#REF!</formula>
    </cfRule>
  </conditionalFormatting>
  <conditionalFormatting sqref="Z28:Z29">
    <cfRule type="expression" dxfId="71" priority="338">
      <formula>$G28=#REF!</formula>
    </cfRule>
    <cfRule type="expression" dxfId="70" priority="339">
      <formula>$G28=#REF!</formula>
    </cfRule>
    <cfRule type="expression" dxfId="69" priority="340">
      <formula>$G28=#REF!</formula>
    </cfRule>
    <cfRule type="expression" dxfId="68" priority="341">
      <formula>$G28=#REF!</formula>
    </cfRule>
  </conditionalFormatting>
  <conditionalFormatting sqref="Z49:Z68">
    <cfRule type="expression" dxfId="67" priority="324">
      <formula>$G49=#REF!</formula>
    </cfRule>
    <cfRule type="expression" dxfId="66" priority="325">
      <formula>$G49=#REF!</formula>
    </cfRule>
    <cfRule type="expression" dxfId="65" priority="326">
      <formula>$G49=#REF!</formula>
    </cfRule>
    <cfRule type="expression" dxfId="64" priority="327">
      <formula>$G49=#REF!</formula>
    </cfRule>
  </conditionalFormatting>
  <conditionalFormatting sqref="Z69:Z71">
    <cfRule type="expression" dxfId="63" priority="310">
      <formula>$G69=#REF!</formula>
    </cfRule>
    <cfRule type="expression" dxfId="62" priority="311">
      <formula>$G69=#REF!</formula>
    </cfRule>
    <cfRule type="expression" dxfId="61" priority="312">
      <formula>$G69=#REF!</formula>
    </cfRule>
    <cfRule type="expression" dxfId="60" priority="313">
      <formula>$G69=#REF!</formula>
    </cfRule>
  </conditionalFormatting>
  <conditionalFormatting sqref="K90">
    <cfRule type="cellIs" dxfId="59" priority="105" operator="equal">
      <formula>"Mut+ext"</formula>
    </cfRule>
  </conditionalFormatting>
  <conditionalFormatting sqref="K48 K89">
    <cfRule type="cellIs" dxfId="58" priority="120" operator="equal">
      <formula>"Mut+ext"</formula>
    </cfRule>
  </conditionalFormatting>
  <conditionalFormatting sqref="K8:K26 K28">
    <cfRule type="cellIs" dxfId="57" priority="117" operator="equal">
      <formula>"Mut+ext"</formula>
    </cfRule>
  </conditionalFormatting>
  <conditionalFormatting sqref="K28:K47">
    <cfRule type="cellIs" dxfId="56" priority="115" operator="equal">
      <formula>"Mut+ext"</formula>
    </cfRule>
  </conditionalFormatting>
  <conditionalFormatting sqref="K49:K68">
    <cfRule type="cellIs" dxfId="55" priority="113" operator="equal">
      <formula>"Mut+ext"</formula>
    </cfRule>
  </conditionalFormatting>
  <conditionalFormatting sqref="K69:K71 K85:K88">
    <cfRule type="cellIs" dxfId="54" priority="111" operator="equal">
      <formula>"Mut+ext"</formula>
    </cfRule>
  </conditionalFormatting>
  <conditionalFormatting sqref="Z12:Z24">
    <cfRule type="expression" dxfId="53" priority="72">
      <formula>$G12=#REF!</formula>
    </cfRule>
    <cfRule type="expression" dxfId="52" priority="73">
      <formula>$G12=#REF!</formula>
    </cfRule>
    <cfRule type="expression" dxfId="51" priority="74">
      <formula>$G12=#REF!</formula>
    </cfRule>
    <cfRule type="expression" dxfId="50" priority="75">
      <formula>$G12=#REF!</formula>
    </cfRule>
  </conditionalFormatting>
  <conditionalFormatting sqref="Z30">
    <cfRule type="expression" dxfId="49" priority="68">
      <formula>$G30=#REF!</formula>
    </cfRule>
    <cfRule type="expression" dxfId="48" priority="69">
      <formula>$G30=#REF!</formula>
    </cfRule>
    <cfRule type="expression" dxfId="47" priority="70">
      <formula>$G30=#REF!</formula>
    </cfRule>
    <cfRule type="expression" dxfId="46" priority="71">
      <formula>$G30=#REF!</formula>
    </cfRule>
  </conditionalFormatting>
  <conditionalFormatting sqref="Z31:Z32">
    <cfRule type="expression" dxfId="45" priority="60">
      <formula>$G31=#REF!</formula>
    </cfRule>
    <cfRule type="expression" dxfId="44" priority="61">
      <formula>$G31=#REF!</formula>
    </cfRule>
    <cfRule type="expression" dxfId="43" priority="62">
      <formula>$G31=#REF!</formula>
    </cfRule>
    <cfRule type="expression" dxfId="42" priority="63">
      <formula>$G31=#REF!</formula>
    </cfRule>
  </conditionalFormatting>
  <conditionalFormatting sqref="Z33:Z34">
    <cfRule type="expression" dxfId="41" priority="56">
      <formula>$G33=#REF!</formula>
    </cfRule>
    <cfRule type="expression" dxfId="40" priority="57">
      <formula>$G33=#REF!</formula>
    </cfRule>
    <cfRule type="expression" dxfId="39" priority="58">
      <formula>$G33=#REF!</formula>
    </cfRule>
    <cfRule type="expression" dxfId="38" priority="59">
      <formula>$G33=#REF!</formula>
    </cfRule>
  </conditionalFormatting>
  <conditionalFormatting sqref="Z72:Z84">
    <cfRule type="expression" dxfId="37" priority="52">
      <formula>$G72=#REF!</formula>
    </cfRule>
    <cfRule type="expression" dxfId="36" priority="53">
      <formula>$G72=#REF!</formula>
    </cfRule>
    <cfRule type="expression" dxfId="35" priority="54">
      <formula>$G72=#REF!</formula>
    </cfRule>
    <cfRule type="expression" dxfId="34" priority="55">
      <formula>$G72=#REF!</formula>
    </cfRule>
  </conditionalFormatting>
  <conditionalFormatting sqref="K72:K84">
    <cfRule type="cellIs" dxfId="33" priority="50" operator="equal">
      <formula>"Mut+ext"</formula>
    </cfRule>
  </conditionalFormatting>
  <conditionalFormatting sqref="Y28:Y47">
    <cfRule type="cellIs" dxfId="32" priority="38" operator="notEqual">
      <formula>S28</formula>
    </cfRule>
  </conditionalFormatting>
  <conditionalFormatting sqref="Y49:Y68">
    <cfRule type="cellIs" dxfId="31" priority="36" operator="notEqual">
      <formula>S49</formula>
    </cfRule>
  </conditionalFormatting>
  <conditionalFormatting sqref="Y69:Y88">
    <cfRule type="cellIs" dxfId="30" priority="34" operator="notEqual">
      <formula>S69</formula>
    </cfRule>
  </conditionalFormatting>
  <conditionalFormatting sqref="Y8:Y27">
    <cfRule type="cellIs" dxfId="29" priority="28" operator="notEqual">
      <formula>S8</formula>
    </cfRule>
  </conditionalFormatting>
  <conditionalFormatting sqref="F8:F11 F24:F28 F13:F20">
    <cfRule type="expression" dxfId="28" priority="25">
      <formula>E8="obligatoire"</formula>
    </cfRule>
  </conditionalFormatting>
  <conditionalFormatting sqref="F28:F47">
    <cfRule type="expression" dxfId="27" priority="24">
      <formula>E28="obligatoire"</formula>
    </cfRule>
  </conditionalFormatting>
  <conditionalFormatting sqref="F61:F68">
    <cfRule type="expression" dxfId="26" priority="23">
      <formula>E61="obligatoire"</formula>
    </cfRule>
  </conditionalFormatting>
  <conditionalFormatting sqref="F69:F88">
    <cfRule type="expression" dxfId="25" priority="22">
      <formula>E69="obligatoire"</formula>
    </cfRule>
  </conditionalFormatting>
  <conditionalFormatting sqref="F12">
    <cfRule type="expression" dxfId="24" priority="18">
      <formula>E12="obligatoire"</formula>
    </cfRule>
  </conditionalFormatting>
  <conditionalFormatting sqref="F52:F59">
    <cfRule type="expression" dxfId="23" priority="17">
      <formula>E52="obligatoire"</formula>
    </cfRule>
  </conditionalFormatting>
  <conditionalFormatting sqref="F49:F54">
    <cfRule type="expression" dxfId="22" priority="16">
      <formula>E49="obligatoire"</formula>
    </cfRule>
  </conditionalFormatting>
  <conditionalFormatting sqref="F20:F21">
    <cfRule type="expression" dxfId="21" priority="15">
      <formula>E20="obligatoire"</formula>
    </cfRule>
  </conditionalFormatting>
  <conditionalFormatting sqref="F57">
    <cfRule type="expression" dxfId="20" priority="12">
      <formula>E57="obligatoire"</formula>
    </cfRule>
  </conditionalFormatting>
  <conditionalFormatting sqref="F57">
    <cfRule type="expression" dxfId="19" priority="11">
      <formula>E57="obligatoire"</formula>
    </cfRule>
  </conditionalFormatting>
  <conditionalFormatting sqref="F60">
    <cfRule type="expression" dxfId="18" priority="10">
      <formula>E60="obligatoire"</formula>
    </cfRule>
  </conditionalFormatting>
  <conditionalFormatting sqref="F23">
    <cfRule type="expression" dxfId="17" priority="9">
      <formula>E23="obligatoire"</formula>
    </cfRule>
  </conditionalFormatting>
  <conditionalFormatting sqref="F22">
    <cfRule type="expression" dxfId="16" priority="8">
      <formula>E22="obligatoire"</formula>
    </cfRule>
  </conditionalFormatting>
  <conditionalFormatting sqref="F22">
    <cfRule type="expression" dxfId="15" priority="7">
      <formula>E22="obligatoire"</formula>
    </cfRule>
  </conditionalFormatting>
  <conditionalFormatting sqref="F59">
    <cfRule type="expression" dxfId="14" priority="6">
      <formula>E59="obligatoire"</formula>
    </cfRule>
  </conditionalFormatting>
  <conditionalFormatting sqref="F22">
    <cfRule type="expression" dxfId="13" priority="5">
      <formula>E22="obligatoire"</formula>
    </cfRule>
  </conditionalFormatting>
  <conditionalFormatting sqref="F24">
    <cfRule type="expression" dxfId="12" priority="4">
      <formula>E24="obligatoire"</formula>
    </cfRule>
  </conditionalFormatting>
  <conditionalFormatting sqref="F23">
    <cfRule type="expression" dxfId="11" priority="3">
      <formula>E23="obligatoire"</formula>
    </cfRule>
  </conditionalFormatting>
  <conditionalFormatting sqref="F23">
    <cfRule type="expression" dxfId="10" priority="2">
      <formula>E23="obligatoire"</formula>
    </cfRule>
  </conditionalFormatting>
  <conditionalFormatting sqref="K27">
    <cfRule type="cellIs" dxfId="9" priority="1" operator="equal">
      <formula>"Mut+ext"</formula>
    </cfRule>
  </conditionalFormatting>
  <dataValidations count="5">
    <dataValidation type="list" allowBlank="1" showInputMessage="1" showErrorMessage="1" sqref="G48">
      <formula1>#REF!</formula1>
    </dataValidation>
    <dataValidation type="list" allowBlank="1" showInputMessage="1" showErrorMessage="1" sqref="F8:F88">
      <formula1>"1,2,3,4"</formula1>
    </dataValidation>
    <dataValidation type="list" allowBlank="1" showInputMessage="1" showErrorMessage="1" sqref="E8:E88">
      <formula1>"Obligatoire,Option"</formula1>
    </dataValidation>
    <dataValidation type="list" allowBlank="1" showInputMessage="1" showErrorMessage="1" sqref="K8:K47 K49:K88">
      <formula1>"Non,Mut,Mut+ext"</formula1>
    </dataValidation>
    <dataValidation type="list" allowBlank="1" showInputMessage="1" showErrorMessage="1" sqref="D49:D88 D8:D47">
      <formula1>"MIXTE,FI/FC,ALT"</formula1>
    </dataValidation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Paramétrage!$D$6:$D$27</xm:f>
          </x14:formula1>
          <xm:sqref>G8:G47</xm:sqref>
        </x14:dataValidation>
        <x14:dataValidation type="list" allowBlank="1" showInputMessage="1" showErrorMessage="1">
          <x14:formula1>
            <xm:f>Paramétrage!D$6:D$27</xm:f>
          </x14:formula1>
          <xm:sqref>G49:G88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41"/>
  <sheetViews>
    <sheetView zoomScale="85" zoomScaleNormal="85" workbookViewId="0">
      <pane ySplit="11" topLeftCell="A15" activePane="bottomLeft" state="frozen"/>
      <selection pane="bottomLeft" activeCell="F22" sqref="F22"/>
    </sheetView>
  </sheetViews>
  <sheetFormatPr baseColWidth="10" defaultColWidth="11.5546875" defaultRowHeight="13.8" x14ac:dyDescent="0.25"/>
  <cols>
    <col min="1" max="1" width="3.109375" style="69" customWidth="1"/>
    <col min="2" max="2" width="12.77734375" style="69" customWidth="1"/>
    <col min="3" max="3" width="25.5546875" style="69" bestFit="1" customWidth="1"/>
    <col min="4" max="4" width="12.77734375" style="69" bestFit="1" customWidth="1"/>
    <col min="5" max="5" width="9" style="69" bestFit="1" customWidth="1"/>
    <col min="6" max="6" width="11.5546875" style="69"/>
    <col min="7" max="7" width="11.44140625" style="69" customWidth="1"/>
    <col min="8" max="10" width="11.5546875" style="69"/>
    <col min="11" max="11" width="18.77734375" style="69" customWidth="1"/>
    <col min="12" max="12" width="22.21875" style="69" customWidth="1"/>
    <col min="13" max="13" width="11.5546875" style="69" customWidth="1"/>
    <col min="14" max="14" width="24.21875" style="69" customWidth="1"/>
    <col min="15" max="15" width="9.88671875" style="69" customWidth="1"/>
    <col min="16" max="17" width="6.77734375" style="69" customWidth="1"/>
    <col min="18" max="16384" width="11.5546875" style="69"/>
  </cols>
  <sheetData>
    <row r="1" spans="1:17" ht="7.2" customHeight="1" thickBot="1" x14ac:dyDescent="0.3">
      <c r="H1" s="70"/>
      <c r="I1" s="71"/>
      <c r="J1" s="72"/>
      <c r="K1" s="70"/>
      <c r="L1" s="70"/>
    </row>
    <row r="2" spans="1:17" ht="28.2" customHeight="1" thickBot="1" x14ac:dyDescent="0.3">
      <c r="A2" s="73"/>
      <c r="B2" s="521" t="s">
        <v>68</v>
      </c>
      <c r="C2" s="522"/>
      <c r="D2" s="522"/>
      <c r="E2" s="522"/>
      <c r="F2" s="522"/>
      <c r="G2" s="522"/>
      <c r="H2" s="522"/>
      <c r="I2" s="522"/>
      <c r="J2" s="522"/>
      <c r="K2" s="522"/>
      <c r="L2" s="522"/>
      <c r="M2" s="523"/>
    </row>
    <row r="3" spans="1:17" ht="12.6" customHeight="1" x14ac:dyDescent="0.25">
      <c r="F3" s="70"/>
      <c r="G3" s="70"/>
      <c r="H3" s="70"/>
      <c r="I3" s="70"/>
      <c r="J3" s="72"/>
      <c r="K3" s="70"/>
      <c r="L3" s="70"/>
    </row>
    <row r="4" spans="1:17" ht="22.2" customHeight="1" x14ac:dyDescent="0.25">
      <c r="C4" s="74" t="s">
        <v>69</v>
      </c>
      <c r="D4" s="518" t="s">
        <v>70</v>
      </c>
      <c r="E4" s="520"/>
      <c r="G4" s="74" t="s">
        <v>71</v>
      </c>
      <c r="H4" s="518" t="s">
        <v>72</v>
      </c>
      <c r="I4" s="519"/>
      <c r="J4" s="519"/>
      <c r="K4" s="520"/>
    </row>
    <row r="5" spans="1:17" ht="31.95" customHeight="1" x14ac:dyDescent="0.25">
      <c r="C5" s="75" t="s">
        <v>73</v>
      </c>
      <c r="D5" s="518" t="s">
        <v>74</v>
      </c>
      <c r="E5" s="520"/>
      <c r="G5" s="74" t="s">
        <v>75</v>
      </c>
      <c r="H5" s="524" t="s">
        <v>76</v>
      </c>
      <c r="I5" s="525"/>
      <c r="J5" s="525"/>
      <c r="K5" s="526"/>
    </row>
    <row r="6" spans="1:17" ht="22.2" customHeight="1" x14ac:dyDescent="0.25">
      <c r="C6" s="516" t="s">
        <v>77</v>
      </c>
      <c r="D6" s="517"/>
      <c r="E6" s="76">
        <v>18</v>
      </c>
      <c r="G6" s="74" t="s">
        <v>78</v>
      </c>
      <c r="H6" s="518" t="s">
        <v>79</v>
      </c>
      <c r="I6" s="519"/>
      <c r="J6" s="519"/>
      <c r="K6" s="520"/>
      <c r="N6" s="77" t="s">
        <v>80</v>
      </c>
    </row>
    <row r="7" spans="1:17" ht="22.2" customHeight="1" x14ac:dyDescent="0.25">
      <c r="C7" s="516" t="s">
        <v>81</v>
      </c>
      <c r="D7" s="517"/>
      <c r="E7" s="76">
        <v>18</v>
      </c>
      <c r="G7" s="78" t="s">
        <v>82</v>
      </c>
      <c r="J7" s="79">
        <v>2021</v>
      </c>
      <c r="K7" s="79">
        <v>2022</v>
      </c>
    </row>
    <row r="8" spans="1:17" ht="18" customHeight="1" x14ac:dyDescent="0.25">
      <c r="E8" s="80"/>
      <c r="G8" s="81"/>
    </row>
    <row r="9" spans="1:17" ht="25.95" customHeight="1" x14ac:dyDescent="0.25">
      <c r="B9" s="529" t="s">
        <v>83</v>
      </c>
      <c r="C9" s="529"/>
      <c r="D9" s="529"/>
      <c r="E9" s="82">
        <f>'Budget détaillé'!J75</f>
        <v>0</v>
      </c>
      <c r="F9" s="530" t="s">
        <v>84</v>
      </c>
      <c r="G9" s="530"/>
      <c r="H9" s="83"/>
      <c r="I9" s="84" t="s">
        <v>85</v>
      </c>
      <c r="J9" s="82">
        <f>'Recettes et simulat'!J28+'Recettes et simulat'!F39-'Budget détaillé'!K62</f>
        <v>-5872</v>
      </c>
    </row>
    <row r="10" spans="1:17" ht="22.2" customHeight="1" x14ac:dyDescent="0.25">
      <c r="B10" s="529" t="s">
        <v>86</v>
      </c>
      <c r="C10" s="529"/>
      <c r="D10" s="529"/>
      <c r="E10" s="82">
        <f>E9+J9</f>
        <v>-5872</v>
      </c>
      <c r="F10" s="530"/>
      <c r="G10" s="530"/>
      <c r="H10" s="531" t="s">
        <v>87</v>
      </c>
      <c r="I10" s="532"/>
      <c r="J10" s="82">
        <f>'Budget détaillé'!K63</f>
        <v>7244.7222222222226</v>
      </c>
    </row>
    <row r="11" spans="1:17" ht="16.95" customHeight="1" thickBot="1" x14ac:dyDescent="0.3"/>
    <row r="12" spans="1:17" ht="18.600000000000001" customHeight="1" thickBot="1" x14ac:dyDescent="0.3">
      <c r="B12" s="533" t="s">
        <v>88</v>
      </c>
      <c r="C12" s="534"/>
      <c r="D12" s="534"/>
      <c r="E12" s="534"/>
      <c r="F12" s="534"/>
      <c r="G12" s="534"/>
      <c r="H12" s="534"/>
      <c r="I12" s="534"/>
      <c r="J12" s="534"/>
      <c r="K12" s="534"/>
      <c r="L12" s="534"/>
      <c r="M12" s="535"/>
    </row>
    <row r="13" spans="1:17" ht="14.4" thickBot="1" x14ac:dyDescent="0.3"/>
    <row r="14" spans="1:17" ht="55.8" thickBot="1" x14ac:dyDescent="0.3">
      <c r="B14" s="85" t="s">
        <v>89</v>
      </c>
      <c r="C14" s="86" t="s">
        <v>90</v>
      </c>
      <c r="D14" s="86" t="s">
        <v>13</v>
      </c>
      <c r="E14" s="86" t="s">
        <v>91</v>
      </c>
      <c r="F14" s="86" t="s">
        <v>92</v>
      </c>
      <c r="G14" s="86" t="s">
        <v>0</v>
      </c>
      <c r="H14" s="87" t="s">
        <v>93</v>
      </c>
      <c r="I14" s="86" t="s">
        <v>94</v>
      </c>
      <c r="J14" s="86" t="s">
        <v>95</v>
      </c>
      <c r="K14" s="86" t="s">
        <v>96</v>
      </c>
      <c r="L14" s="536" t="s">
        <v>97</v>
      </c>
      <c r="M14" s="523"/>
      <c r="O14" s="88" t="s">
        <v>98</v>
      </c>
      <c r="P14" s="88">
        <v>250</v>
      </c>
      <c r="Q14" s="88">
        <v>400</v>
      </c>
    </row>
    <row r="15" spans="1:17" ht="20.399999999999999" customHeight="1" x14ac:dyDescent="0.25">
      <c r="B15" s="537" t="s">
        <v>99</v>
      </c>
      <c r="C15" s="538"/>
      <c r="D15" s="538"/>
      <c r="E15" s="538"/>
      <c r="F15" s="538"/>
      <c r="G15" s="538"/>
      <c r="H15" s="538"/>
      <c r="I15" s="538"/>
      <c r="J15" s="538"/>
      <c r="K15" s="538"/>
      <c r="L15" s="538"/>
      <c r="M15" s="539"/>
      <c r="O15" s="88" t="s">
        <v>100</v>
      </c>
      <c r="P15" s="88">
        <v>400</v>
      </c>
      <c r="Q15" s="88"/>
    </row>
    <row r="16" spans="1:17" ht="16.95" customHeight="1" thickBot="1" x14ac:dyDescent="0.3">
      <c r="B16" s="540" t="s">
        <v>101</v>
      </c>
      <c r="C16" s="541"/>
      <c r="D16" s="89"/>
      <c r="E16" s="90"/>
      <c r="F16" s="91">
        <f>E6-E7</f>
        <v>0</v>
      </c>
      <c r="G16" s="92">
        <f>E16*F16</f>
        <v>0</v>
      </c>
      <c r="H16" s="93"/>
      <c r="I16" s="94"/>
      <c r="J16" s="94"/>
      <c r="K16" s="95"/>
      <c r="L16" s="94"/>
      <c r="M16" s="96"/>
    </row>
    <row r="17" spans="2:13" ht="21" customHeight="1" x14ac:dyDescent="0.25">
      <c r="B17" s="537" t="s">
        <v>102</v>
      </c>
      <c r="C17" s="538"/>
      <c r="D17" s="538"/>
      <c r="E17" s="538"/>
      <c r="F17" s="538"/>
      <c r="G17" s="538"/>
      <c r="H17" s="538"/>
      <c r="I17" s="538"/>
      <c r="J17" s="538"/>
      <c r="K17" s="538"/>
      <c r="L17" s="538"/>
      <c r="M17" s="539"/>
    </row>
    <row r="18" spans="2:13" x14ac:dyDescent="0.25">
      <c r="B18" s="97" t="s">
        <v>103</v>
      </c>
      <c r="C18" s="98" t="s">
        <v>98</v>
      </c>
      <c r="D18" s="76"/>
      <c r="E18" s="90">
        <v>6800</v>
      </c>
      <c r="F18" s="76">
        <v>15</v>
      </c>
      <c r="G18" s="92">
        <f>E18*F18</f>
        <v>102000</v>
      </c>
      <c r="H18" s="92">
        <f t="shared" ref="H18:H27" si="0">IF(D18=0,0,E18/D18)</f>
        <v>0</v>
      </c>
      <c r="I18" s="99">
        <v>0.05</v>
      </c>
      <c r="J18" s="92">
        <f>G18*(1-I18)</f>
        <v>96900</v>
      </c>
      <c r="K18" s="92">
        <f t="shared" ref="K18:K27" si="1">IF((D18*F18)=0,0,J18/(D18*F18))</f>
        <v>0</v>
      </c>
      <c r="L18" s="527"/>
      <c r="M18" s="528"/>
    </row>
    <row r="19" spans="2:13" x14ac:dyDescent="0.25">
      <c r="B19" s="97" t="s">
        <v>104</v>
      </c>
      <c r="C19" s="98" t="s">
        <v>100</v>
      </c>
      <c r="D19" s="76"/>
      <c r="E19" s="90">
        <v>7211</v>
      </c>
      <c r="F19" s="76">
        <v>3</v>
      </c>
      <c r="G19" s="92">
        <f t="shared" ref="G19:G27" si="2">E19*F19</f>
        <v>21633</v>
      </c>
      <c r="H19" s="92">
        <f t="shared" si="0"/>
        <v>0</v>
      </c>
      <c r="I19" s="99"/>
      <c r="J19" s="92">
        <f t="shared" ref="J19:J27" si="3">G19*(1-I19)</f>
        <v>21633</v>
      </c>
      <c r="K19" s="92">
        <f t="shared" si="1"/>
        <v>0</v>
      </c>
      <c r="L19" s="527"/>
      <c r="M19" s="528"/>
    </row>
    <row r="20" spans="2:13" x14ac:dyDescent="0.25">
      <c r="B20" s="97" t="s">
        <v>105</v>
      </c>
      <c r="C20" s="98"/>
      <c r="D20" s="76"/>
      <c r="E20" s="90"/>
      <c r="F20" s="76"/>
      <c r="G20" s="92">
        <f t="shared" si="2"/>
        <v>0</v>
      </c>
      <c r="H20" s="92">
        <f t="shared" si="0"/>
        <v>0</v>
      </c>
      <c r="I20" s="99"/>
      <c r="J20" s="92">
        <f t="shared" si="3"/>
        <v>0</v>
      </c>
      <c r="K20" s="92">
        <f t="shared" si="1"/>
        <v>0</v>
      </c>
      <c r="L20" s="527"/>
      <c r="M20" s="528"/>
    </row>
    <row r="21" spans="2:13" x14ac:dyDescent="0.25">
      <c r="B21" s="97" t="s">
        <v>106</v>
      </c>
      <c r="C21" s="98"/>
      <c r="D21" s="76"/>
      <c r="E21" s="90"/>
      <c r="F21" s="76"/>
      <c r="G21" s="92">
        <f t="shared" si="2"/>
        <v>0</v>
      </c>
      <c r="H21" s="92">
        <f t="shared" si="0"/>
        <v>0</v>
      </c>
      <c r="I21" s="99"/>
      <c r="J21" s="92">
        <f t="shared" si="3"/>
        <v>0</v>
      </c>
      <c r="K21" s="92">
        <f t="shared" si="1"/>
        <v>0</v>
      </c>
      <c r="L21" s="527"/>
      <c r="M21" s="528"/>
    </row>
    <row r="22" spans="2:13" x14ac:dyDescent="0.25">
      <c r="B22" s="97" t="s">
        <v>107</v>
      </c>
      <c r="C22" s="98"/>
      <c r="D22" s="76"/>
      <c r="E22" s="90"/>
      <c r="F22" s="76"/>
      <c r="G22" s="92">
        <f t="shared" si="2"/>
        <v>0</v>
      </c>
      <c r="H22" s="92">
        <f t="shared" si="0"/>
        <v>0</v>
      </c>
      <c r="I22" s="99"/>
      <c r="J22" s="92">
        <f t="shared" si="3"/>
        <v>0</v>
      </c>
      <c r="K22" s="92">
        <f t="shared" si="1"/>
        <v>0</v>
      </c>
      <c r="L22" s="527"/>
      <c r="M22" s="528"/>
    </row>
    <row r="23" spans="2:13" x14ac:dyDescent="0.25">
      <c r="B23" s="97" t="s">
        <v>108</v>
      </c>
      <c r="C23" s="98"/>
      <c r="D23" s="76"/>
      <c r="E23" s="90"/>
      <c r="F23" s="76"/>
      <c r="G23" s="92">
        <f t="shared" si="2"/>
        <v>0</v>
      </c>
      <c r="H23" s="92">
        <f t="shared" si="0"/>
        <v>0</v>
      </c>
      <c r="I23" s="99"/>
      <c r="J23" s="92">
        <f t="shared" si="3"/>
        <v>0</v>
      </c>
      <c r="K23" s="92">
        <f t="shared" si="1"/>
        <v>0</v>
      </c>
      <c r="L23" s="527"/>
      <c r="M23" s="528"/>
    </row>
    <row r="24" spans="2:13" x14ac:dyDescent="0.25">
      <c r="B24" s="97" t="s">
        <v>109</v>
      </c>
      <c r="C24" s="98"/>
      <c r="D24" s="76"/>
      <c r="E24" s="90"/>
      <c r="F24" s="76"/>
      <c r="G24" s="92">
        <f t="shared" si="2"/>
        <v>0</v>
      </c>
      <c r="H24" s="92">
        <f t="shared" si="0"/>
        <v>0</v>
      </c>
      <c r="I24" s="99"/>
      <c r="J24" s="92">
        <f t="shared" si="3"/>
        <v>0</v>
      </c>
      <c r="K24" s="92">
        <f t="shared" si="1"/>
        <v>0</v>
      </c>
      <c r="L24" s="527"/>
      <c r="M24" s="528"/>
    </row>
    <row r="25" spans="2:13" x14ac:dyDescent="0.25">
      <c r="B25" s="97" t="s">
        <v>110</v>
      </c>
      <c r="C25" s="98"/>
      <c r="D25" s="76"/>
      <c r="E25" s="90"/>
      <c r="F25" s="76"/>
      <c r="G25" s="92">
        <f t="shared" si="2"/>
        <v>0</v>
      </c>
      <c r="H25" s="92">
        <f t="shared" si="0"/>
        <v>0</v>
      </c>
      <c r="I25" s="99"/>
      <c r="J25" s="92">
        <f t="shared" si="3"/>
        <v>0</v>
      </c>
      <c r="K25" s="92">
        <f t="shared" si="1"/>
        <v>0</v>
      </c>
      <c r="L25" s="527"/>
      <c r="M25" s="528"/>
    </row>
    <row r="26" spans="2:13" x14ac:dyDescent="0.25">
      <c r="B26" s="97" t="s">
        <v>111</v>
      </c>
      <c r="C26" s="98"/>
      <c r="D26" s="76"/>
      <c r="E26" s="90"/>
      <c r="F26" s="76"/>
      <c r="G26" s="92">
        <f t="shared" si="2"/>
        <v>0</v>
      </c>
      <c r="H26" s="92">
        <f t="shared" si="0"/>
        <v>0</v>
      </c>
      <c r="I26" s="99"/>
      <c r="J26" s="92">
        <f t="shared" si="3"/>
        <v>0</v>
      </c>
      <c r="K26" s="92">
        <f t="shared" si="1"/>
        <v>0</v>
      </c>
      <c r="L26" s="527"/>
      <c r="M26" s="528"/>
    </row>
    <row r="27" spans="2:13" x14ac:dyDescent="0.25">
      <c r="B27" s="100" t="s">
        <v>112</v>
      </c>
      <c r="C27" s="101"/>
      <c r="D27" s="76"/>
      <c r="E27" s="102"/>
      <c r="F27" s="76"/>
      <c r="G27" s="92">
        <f t="shared" si="2"/>
        <v>0</v>
      </c>
      <c r="H27" s="92">
        <f t="shared" si="0"/>
        <v>0</v>
      </c>
      <c r="I27" s="99"/>
      <c r="J27" s="92">
        <f t="shared" si="3"/>
        <v>0</v>
      </c>
      <c r="K27" s="92">
        <f t="shared" si="1"/>
        <v>0</v>
      </c>
      <c r="L27" s="527"/>
      <c r="M27" s="528"/>
    </row>
    <row r="28" spans="2:13" ht="14.4" thickBot="1" x14ac:dyDescent="0.3">
      <c r="B28" s="547" t="s">
        <v>113</v>
      </c>
      <c r="C28" s="548"/>
      <c r="D28" s="103"/>
      <c r="E28" s="104"/>
      <c r="F28" s="103">
        <f>SUM(F18:F27)</f>
        <v>18</v>
      </c>
      <c r="G28" s="105">
        <f>SUM(G18:G27)</f>
        <v>123633</v>
      </c>
      <c r="H28" s="106">
        <f>IF(SUMPRODUCT(F18:F27,D18:D27)=0,0,G28/SUMPRODUCT(F18:F27,D18:D27))</f>
        <v>0</v>
      </c>
      <c r="I28" s="103"/>
      <c r="J28" s="105">
        <f>SUM(J18:J27)</f>
        <v>118533</v>
      </c>
      <c r="K28" s="105">
        <f>IF(D28=0,0,IF(SUMPRODUCT(F18:F27,D18:D27)=0,0,J28/SUMPRODUCT(F18:F27,D18:D27)))</f>
        <v>0</v>
      </c>
      <c r="L28" s="549"/>
      <c r="M28" s="550"/>
    </row>
    <row r="29" spans="2:13" x14ac:dyDescent="0.25">
      <c r="B29" s="78"/>
      <c r="C29" s="78"/>
      <c r="D29" s="75"/>
      <c r="E29" s="81"/>
      <c r="F29" s="75"/>
      <c r="G29" s="107"/>
      <c r="H29" s="107"/>
      <c r="I29" s="81"/>
      <c r="J29" s="107"/>
      <c r="K29" s="107"/>
      <c r="L29" s="107"/>
      <c r="M29" s="81"/>
    </row>
    <row r="30" spans="2:13" ht="14.4" thickBot="1" x14ac:dyDescent="0.3"/>
    <row r="31" spans="2:13" ht="18.600000000000001" customHeight="1" thickBot="1" x14ac:dyDescent="0.3">
      <c r="B31" s="533" t="s">
        <v>114</v>
      </c>
      <c r="C31" s="534"/>
      <c r="D31" s="534"/>
      <c r="E31" s="534"/>
      <c r="F31" s="534"/>
      <c r="G31" s="534"/>
      <c r="H31" s="534"/>
      <c r="I31" s="534"/>
      <c r="J31" s="534"/>
      <c r="K31" s="534"/>
      <c r="L31" s="534"/>
      <c r="M31" s="535"/>
    </row>
    <row r="32" spans="2:13" ht="14.4" thickBot="1" x14ac:dyDescent="0.3"/>
    <row r="33" spans="2:13" ht="21" customHeight="1" x14ac:dyDescent="0.25">
      <c r="B33" s="542" t="s">
        <v>115</v>
      </c>
      <c r="C33" s="543"/>
      <c r="D33" s="544"/>
      <c r="E33" s="108" t="s">
        <v>116</v>
      </c>
      <c r="F33" s="108" t="s">
        <v>117</v>
      </c>
      <c r="G33" s="545" t="s">
        <v>118</v>
      </c>
      <c r="H33" s="543"/>
      <c r="I33" s="543"/>
      <c r="J33" s="543"/>
      <c r="K33" s="546"/>
    </row>
    <row r="34" spans="2:13" x14ac:dyDescent="0.25">
      <c r="B34" s="551" t="s">
        <v>119</v>
      </c>
      <c r="C34" s="552"/>
      <c r="D34" s="552"/>
      <c r="E34" s="98" t="s">
        <v>120</v>
      </c>
      <c r="F34" s="90">
        <v>3000</v>
      </c>
      <c r="G34" s="553"/>
      <c r="H34" s="553"/>
      <c r="I34" s="553"/>
      <c r="J34" s="553"/>
      <c r="K34" s="554"/>
    </row>
    <row r="35" spans="2:13" ht="30.6" customHeight="1" x14ac:dyDescent="0.25">
      <c r="B35" s="555" t="s">
        <v>121</v>
      </c>
      <c r="C35" s="556"/>
      <c r="D35" s="556"/>
      <c r="E35" s="98" t="s">
        <v>120</v>
      </c>
      <c r="F35" s="90">
        <v>3000</v>
      </c>
      <c r="G35" s="553"/>
      <c r="H35" s="553"/>
      <c r="I35" s="553"/>
      <c r="J35" s="553"/>
      <c r="K35" s="554"/>
    </row>
    <row r="36" spans="2:13" x14ac:dyDescent="0.25">
      <c r="B36" s="551"/>
      <c r="C36" s="552"/>
      <c r="D36" s="552"/>
      <c r="E36" s="98"/>
      <c r="F36" s="90"/>
      <c r="G36" s="553"/>
      <c r="H36" s="553"/>
      <c r="I36" s="553"/>
      <c r="J36" s="553"/>
      <c r="K36" s="554"/>
    </row>
    <row r="37" spans="2:13" x14ac:dyDescent="0.25">
      <c r="B37" s="557"/>
      <c r="C37" s="558"/>
      <c r="D37" s="558"/>
      <c r="E37" s="98"/>
      <c r="F37" s="90"/>
      <c r="G37" s="553"/>
      <c r="H37" s="553"/>
      <c r="I37" s="553"/>
      <c r="J37" s="553"/>
      <c r="K37" s="554"/>
    </row>
    <row r="38" spans="2:13" x14ac:dyDescent="0.25">
      <c r="B38" s="557"/>
      <c r="C38" s="558"/>
      <c r="D38" s="558"/>
      <c r="E38" s="98"/>
      <c r="F38" s="90"/>
      <c r="G38" s="553"/>
      <c r="H38" s="553"/>
      <c r="I38" s="553"/>
      <c r="J38" s="553"/>
      <c r="K38" s="554"/>
    </row>
    <row r="39" spans="2:13" ht="14.4" thickBot="1" x14ac:dyDescent="0.3">
      <c r="B39" s="559" t="s">
        <v>122</v>
      </c>
      <c r="C39" s="560"/>
      <c r="D39" s="560"/>
      <c r="E39" s="560"/>
      <c r="F39" s="109">
        <f>SUM(F34:F38)</f>
        <v>6000</v>
      </c>
      <c r="G39" s="561"/>
      <c r="H39" s="562"/>
      <c r="I39" s="562"/>
      <c r="J39" s="562"/>
      <c r="K39" s="563"/>
      <c r="L39" s="81"/>
      <c r="M39" s="81"/>
    </row>
    <row r="40" spans="2:13" x14ac:dyDescent="0.25">
      <c r="F40" s="70"/>
    </row>
    <row r="41" spans="2:13" ht="32.4" customHeight="1" x14ac:dyDescent="0.25"/>
  </sheetData>
  <sheetProtection algorithmName="SHA-512" hashValue="mpYeVpzhHdjbN2bySlBhCi0uL/ynUboE8a1aXOVxtqQiBA1CYKtHBVf1cPxDO7jEk448LQgTqhs/VC7EBlvVCA==" saltValue="tWe2BgnjW2b0o/M0vr203A==" spinCount="100000" sheet="1" formatCells="0" formatColumns="0" formatRows="0" autoFilter="0"/>
  <mergeCells count="44">
    <mergeCell ref="B37:D37"/>
    <mergeCell ref="G37:K37"/>
    <mergeCell ref="B38:D38"/>
    <mergeCell ref="G38:K38"/>
    <mergeCell ref="B39:E39"/>
    <mergeCell ref="G39:K39"/>
    <mergeCell ref="B34:D34"/>
    <mergeCell ref="G34:K34"/>
    <mergeCell ref="B35:D35"/>
    <mergeCell ref="G35:K35"/>
    <mergeCell ref="B36:D36"/>
    <mergeCell ref="G36:K36"/>
    <mergeCell ref="B33:D33"/>
    <mergeCell ref="G33:K33"/>
    <mergeCell ref="L20:M20"/>
    <mergeCell ref="L21:M21"/>
    <mergeCell ref="L22:M22"/>
    <mergeCell ref="L23:M23"/>
    <mergeCell ref="L24:M24"/>
    <mergeCell ref="L25:M25"/>
    <mergeCell ref="L26:M26"/>
    <mergeCell ref="L27:M27"/>
    <mergeCell ref="B28:C28"/>
    <mergeCell ref="L28:M28"/>
    <mergeCell ref="B31:M31"/>
    <mergeCell ref="L19:M19"/>
    <mergeCell ref="C7:D7"/>
    <mergeCell ref="B9:D9"/>
    <mergeCell ref="F9:G10"/>
    <mergeCell ref="H10:I10"/>
    <mergeCell ref="B10:D10"/>
    <mergeCell ref="B12:M12"/>
    <mergeCell ref="L14:M14"/>
    <mergeCell ref="B15:M15"/>
    <mergeCell ref="B16:C16"/>
    <mergeCell ref="B17:M17"/>
    <mergeCell ref="L18:M18"/>
    <mergeCell ref="C6:D6"/>
    <mergeCell ref="H6:K6"/>
    <mergeCell ref="B2:M2"/>
    <mergeCell ref="D4:E4"/>
    <mergeCell ref="H4:K4"/>
    <mergeCell ref="D5:E5"/>
    <mergeCell ref="H5:K5"/>
  </mergeCells>
  <conditionalFormatting sqref="J9">
    <cfRule type="cellIs" dxfId="8" priority="8" operator="lessThan">
      <formula>0</formula>
    </cfRule>
    <cfRule type="cellIs" dxfId="7" priority="9" operator="greaterThan">
      <formula>0</formula>
    </cfRule>
  </conditionalFormatting>
  <conditionalFormatting sqref="E9">
    <cfRule type="cellIs" dxfId="6" priority="6" operator="lessThan">
      <formula>0</formula>
    </cfRule>
    <cfRule type="cellIs" dxfId="5" priority="7" operator="greaterThan">
      <formula>0</formula>
    </cfRule>
  </conditionalFormatting>
  <conditionalFormatting sqref="D18:D27">
    <cfRule type="expression" dxfId="4" priority="3" stopIfTrue="1">
      <formula>AND(C18=$O$15,D18&lt;$P$15)</formula>
    </cfRule>
    <cfRule type="expression" dxfId="3" priority="4" stopIfTrue="1">
      <formula>AND(C18=$O$14,D18&gt;$Q$14)</formula>
    </cfRule>
    <cfRule type="expression" dxfId="2" priority="5" stopIfTrue="1">
      <formula>AND(C18=$O$14,D18&lt;$P$14)</formula>
    </cfRule>
  </conditionalFormatting>
  <conditionalFormatting sqref="E10">
    <cfRule type="cellIs" dxfId="1" priority="1" operator="lessThan">
      <formula>0</formula>
    </cfRule>
    <cfRule type="cellIs" dxfId="0" priority="2" operator="greaterThan">
      <formula>0</formula>
    </cfRule>
  </conditionalFormatting>
  <dataValidations count="3">
    <dataValidation type="list" allowBlank="1" showInputMessage="1" showErrorMessage="1" sqref="C18:C27">
      <formula1>"Formation continue,Contrat d'apprentissage,Contrat de professionnalisation"</formula1>
    </dataValidation>
    <dataValidation type="list" allowBlank="1" showInputMessage="1" showErrorMessage="1" sqref="H4:K4">
      <formula1>"Licence Professionnelle,Licence,Master,Diplôme Universitaire Technologique,Diplôme Universitaire,Formation courte"</formula1>
    </dataValidation>
    <dataValidation type="list" allowBlank="1" showInputMessage="1" showErrorMessage="1" sqref="E34:E38">
      <formula1>"Région, Ministère,partenaire"</formula1>
    </dataValidation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Paramétrage!$H$6:$H$17</xm:f>
          </x14:formula1>
          <xm:sqref>H6:K6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showGridLines="0" showZeros="0" zoomScale="85" zoomScaleNormal="85" zoomScaleSheetLayoutView="70" workbookViewId="0">
      <pane ySplit="9" topLeftCell="A10" activePane="bottomLeft" state="frozen"/>
      <selection pane="bottomLeft" activeCell="C29" sqref="C29:F29"/>
    </sheetView>
  </sheetViews>
  <sheetFormatPr baseColWidth="10" defaultColWidth="11.44140625" defaultRowHeight="13.2" outlineLevelRow="2" outlineLevelCol="1" x14ac:dyDescent="0.25"/>
  <cols>
    <col min="1" max="1" width="1.21875" customWidth="1"/>
    <col min="2" max="2" width="5.77734375" customWidth="1"/>
    <col min="3" max="3" width="14.77734375" customWidth="1"/>
    <col min="4" max="4" width="16.44140625" customWidth="1"/>
    <col min="5" max="5" width="14.77734375" customWidth="1"/>
    <col min="6" max="6" width="4.77734375" customWidth="1"/>
    <col min="7" max="7" width="10.77734375" customWidth="1"/>
    <col min="8" max="11" width="11" customWidth="1"/>
    <col min="12" max="16" width="11" hidden="1" customWidth="1" outlineLevel="1"/>
    <col min="17" max="17" width="9.21875" customWidth="1" collapsed="1"/>
    <col min="18" max="18" width="6.88671875" customWidth="1"/>
    <col min="19" max="19" width="6.109375" customWidth="1"/>
    <col min="20" max="20" width="11.21875" bestFit="1" customWidth="1"/>
    <col min="21" max="21" width="24.5546875" bestFit="1" customWidth="1"/>
  </cols>
  <sheetData>
    <row r="1" spans="1:22" ht="7.2" customHeight="1" thickBot="1" x14ac:dyDescent="0.3">
      <c r="A1" s="73"/>
      <c r="B1" s="73"/>
      <c r="C1" s="73"/>
      <c r="D1" s="73"/>
      <c r="E1" s="73"/>
      <c r="F1" s="73"/>
      <c r="G1" s="73"/>
      <c r="H1" s="110"/>
      <c r="I1" s="111"/>
      <c r="J1" s="112"/>
      <c r="K1" s="110"/>
      <c r="L1" s="110"/>
      <c r="M1" s="110"/>
      <c r="N1" s="110"/>
      <c r="O1" s="110"/>
      <c r="P1" s="110"/>
      <c r="Q1" s="69"/>
      <c r="R1" s="69"/>
      <c r="S1" s="73"/>
      <c r="T1" s="73"/>
      <c r="U1" s="73"/>
      <c r="V1" s="73"/>
    </row>
    <row r="2" spans="1:22" ht="28.2" customHeight="1" thickBot="1" x14ac:dyDescent="0.3">
      <c r="A2" s="73"/>
      <c r="B2" s="521" t="s">
        <v>123</v>
      </c>
      <c r="C2" s="522"/>
      <c r="D2" s="522"/>
      <c r="E2" s="522"/>
      <c r="F2" s="522"/>
      <c r="G2" s="522"/>
      <c r="H2" s="522"/>
      <c r="I2" s="522"/>
      <c r="J2" s="522"/>
      <c r="K2" s="523"/>
      <c r="L2" s="521" t="s">
        <v>124</v>
      </c>
      <c r="M2" s="522"/>
      <c r="N2" s="522"/>
      <c r="O2" s="522"/>
      <c r="P2" s="523"/>
      <c r="Q2" s="69"/>
      <c r="R2" s="69"/>
      <c r="S2" s="73"/>
      <c r="T2" s="73"/>
      <c r="U2" s="73"/>
      <c r="V2" s="73"/>
    </row>
    <row r="3" spans="1:22" ht="6.75" customHeight="1" x14ac:dyDescent="0.25">
      <c r="A3" s="73"/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69"/>
      <c r="R3" s="69"/>
      <c r="S3" s="73"/>
      <c r="T3" s="73"/>
      <c r="U3" s="73"/>
      <c r="V3" s="73"/>
    </row>
    <row r="4" spans="1:22" ht="5.25" customHeight="1" x14ac:dyDescent="0.25">
      <c r="A4" s="73"/>
      <c r="B4" s="73"/>
      <c r="C4" s="73"/>
      <c r="D4" s="73"/>
      <c r="E4" s="73"/>
      <c r="F4" s="110"/>
      <c r="G4" s="110"/>
      <c r="H4" s="110"/>
      <c r="I4" s="110"/>
      <c r="J4" s="112"/>
      <c r="K4" s="110"/>
      <c r="L4" s="110"/>
      <c r="M4" s="110"/>
      <c r="N4" s="110"/>
      <c r="O4" s="110"/>
      <c r="P4" s="110"/>
      <c r="Q4" s="69"/>
      <c r="R4" s="69"/>
      <c r="S4" s="73"/>
      <c r="T4" s="73"/>
      <c r="U4" s="73"/>
      <c r="V4" s="73"/>
    </row>
    <row r="5" spans="1:22" ht="22.2" customHeight="1" x14ac:dyDescent="0.25">
      <c r="A5" s="73"/>
      <c r="B5" s="73"/>
      <c r="C5" s="114" t="s">
        <v>69</v>
      </c>
      <c r="D5" s="564" t="str">
        <f>'Recettes et simulat'!D4</f>
        <v>Université Lumière Lyon 2</v>
      </c>
      <c r="E5" s="565"/>
      <c r="F5" s="73"/>
      <c r="G5" s="114" t="s">
        <v>71</v>
      </c>
      <c r="H5" s="564" t="str">
        <f>'Recettes et simulat'!H4</f>
        <v>Licence Professionnelle</v>
      </c>
      <c r="I5" s="566"/>
      <c r="J5" s="566"/>
      <c r="K5" s="565"/>
      <c r="L5" s="110"/>
      <c r="M5" s="110"/>
      <c r="N5" s="110"/>
      <c r="O5" s="110"/>
      <c r="P5" s="110"/>
      <c r="Q5" s="69"/>
      <c r="R5" s="69"/>
      <c r="S5" s="73"/>
      <c r="T5" s="73"/>
      <c r="U5" s="77" t="s">
        <v>80</v>
      </c>
      <c r="V5" s="73"/>
    </row>
    <row r="6" spans="1:22" ht="22.2" customHeight="1" x14ac:dyDescent="0.25">
      <c r="A6" s="73"/>
      <c r="B6" s="73"/>
      <c r="C6" s="113" t="s">
        <v>73</v>
      </c>
      <c r="D6" s="564" t="str">
        <f>'Recettes et simulat'!D5</f>
        <v>En cours</v>
      </c>
      <c r="E6" s="565"/>
      <c r="F6" s="73"/>
      <c r="G6" s="114" t="s">
        <v>125</v>
      </c>
      <c r="H6" s="564" t="str">
        <f>'Recettes et simulat'!H5</f>
        <v>Mention : Management des transports et de la distribution Parcours : Management des Services de Transport de Voyageurs (MSTV)</v>
      </c>
      <c r="I6" s="566"/>
      <c r="J6" s="566"/>
      <c r="K6" s="565"/>
      <c r="L6" s="110"/>
      <c r="M6" s="110"/>
      <c r="N6" s="110"/>
      <c r="O6" s="110"/>
      <c r="P6" s="110"/>
      <c r="Q6" s="69"/>
      <c r="R6" s="69"/>
      <c r="S6" s="73"/>
      <c r="T6" s="73"/>
      <c r="U6" s="73"/>
      <c r="V6" s="73"/>
    </row>
    <row r="7" spans="1:22" ht="22.2" customHeight="1" x14ac:dyDescent="0.25">
      <c r="A7" s="73"/>
      <c r="B7" s="73"/>
      <c r="C7" s="115" t="s">
        <v>77</v>
      </c>
      <c r="D7" s="116"/>
      <c r="E7" s="117">
        <f>'Recettes et simulat'!E6</f>
        <v>18</v>
      </c>
      <c r="F7" s="73"/>
      <c r="G7" s="114" t="s">
        <v>78</v>
      </c>
      <c r="H7" s="564" t="str">
        <f>'Recettes et simulat'!H6</f>
        <v>SEG - Sciences Economiques et de Gestion</v>
      </c>
      <c r="I7" s="566"/>
      <c r="J7" s="566"/>
      <c r="K7" s="565"/>
      <c r="L7" s="110"/>
      <c r="M7" s="110"/>
      <c r="N7" s="110"/>
      <c r="O7" s="110"/>
      <c r="P7" s="110"/>
      <c r="Q7" s="69"/>
      <c r="R7" s="69"/>
      <c r="S7" s="73"/>
      <c r="T7" s="73"/>
      <c r="U7" s="73"/>
      <c r="V7" s="73"/>
    </row>
    <row r="8" spans="1:22" ht="22.2" customHeight="1" x14ac:dyDescent="0.25">
      <c r="A8" s="73"/>
      <c r="B8" s="73"/>
      <c r="C8" s="115" t="s">
        <v>81</v>
      </c>
      <c r="D8" s="116"/>
      <c r="E8" s="117">
        <f>'Recettes et simulat'!E7</f>
        <v>18</v>
      </c>
      <c r="F8" s="73"/>
      <c r="G8" s="78" t="s">
        <v>82</v>
      </c>
      <c r="H8" s="73"/>
      <c r="I8" s="73"/>
      <c r="J8" s="118">
        <f>'Recettes et simulat'!J7</f>
        <v>2021</v>
      </c>
      <c r="K8" s="118">
        <f>'Recettes et simulat'!K7</f>
        <v>2022</v>
      </c>
      <c r="L8" s="73"/>
      <c r="M8" s="73"/>
      <c r="N8" s="73"/>
      <c r="O8" s="73"/>
      <c r="P8" s="73"/>
      <c r="Q8" s="69"/>
      <c r="R8" s="69"/>
      <c r="S8" s="73"/>
      <c r="T8" s="73"/>
      <c r="U8" s="73"/>
      <c r="V8" s="73"/>
    </row>
    <row r="9" spans="1:22" ht="22.2" customHeight="1" x14ac:dyDescent="0.25">
      <c r="A9" s="73"/>
      <c r="B9" s="73"/>
      <c r="C9" s="73"/>
      <c r="D9" s="73"/>
      <c r="E9" s="73"/>
      <c r="F9" s="73"/>
      <c r="G9" s="119"/>
      <c r="H9" s="73"/>
      <c r="I9" s="73"/>
      <c r="J9" s="73"/>
      <c r="K9" s="73"/>
      <c r="L9" s="73"/>
      <c r="M9" s="73"/>
      <c r="N9" s="73"/>
      <c r="O9" s="73"/>
      <c r="P9" s="73"/>
      <c r="Q9" s="69"/>
      <c r="R9" s="69"/>
      <c r="S9" s="73"/>
      <c r="T9" s="73"/>
      <c r="U9" s="120"/>
      <c r="V9" s="120"/>
    </row>
    <row r="10" spans="1:22" s="121" customFormat="1" ht="16.95" customHeight="1" thickBot="1" x14ac:dyDescent="0.3">
      <c r="C10" s="122"/>
      <c r="D10" s="122"/>
      <c r="E10" s="122"/>
      <c r="F10" s="122"/>
      <c r="G10" s="123"/>
      <c r="H10" s="123"/>
      <c r="I10" s="124"/>
      <c r="Q10" s="69"/>
      <c r="R10" s="125"/>
      <c r="S10" s="73"/>
      <c r="T10" s="120"/>
      <c r="U10" s="69"/>
      <c r="V10" s="73"/>
    </row>
    <row r="11" spans="1:22" ht="24.6" customHeight="1" thickBot="1" x14ac:dyDescent="0.3">
      <c r="A11" s="73"/>
      <c r="B11" s="521" t="s">
        <v>126</v>
      </c>
      <c r="C11" s="522"/>
      <c r="D11" s="522"/>
      <c r="E11" s="522"/>
      <c r="F11" s="522"/>
      <c r="G11" s="522"/>
      <c r="H11" s="522"/>
      <c r="I11" s="522"/>
      <c r="J11" s="522"/>
      <c r="K11" s="523"/>
      <c r="L11" s="126"/>
      <c r="M11" s="127"/>
      <c r="N11" s="127"/>
      <c r="O11" s="127"/>
      <c r="P11" s="128"/>
      <c r="Q11" s="69"/>
      <c r="R11" s="69"/>
      <c r="S11" s="73"/>
      <c r="T11" s="69"/>
      <c r="U11" s="69"/>
      <c r="V11" s="69"/>
    </row>
    <row r="12" spans="1:22" s="69" customFormat="1" ht="12.6" customHeight="1" thickBot="1" x14ac:dyDescent="0.3">
      <c r="B12" s="129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1"/>
      <c r="V12" s="73"/>
    </row>
    <row r="13" spans="1:22" s="73" customFormat="1" ht="69.599999999999994" thickBot="1" x14ac:dyDescent="0.3">
      <c r="B13" s="132" t="s">
        <v>127</v>
      </c>
      <c r="C13" s="570" t="s">
        <v>128</v>
      </c>
      <c r="D13" s="571"/>
      <c r="E13" s="571"/>
      <c r="F13" s="572"/>
      <c r="G13" s="133" t="s">
        <v>129</v>
      </c>
      <c r="H13" s="134" t="s">
        <v>130</v>
      </c>
      <c r="I13" s="134" t="s">
        <v>131</v>
      </c>
      <c r="J13" s="135" t="s">
        <v>132</v>
      </c>
      <c r="K13" s="136" t="s">
        <v>133</v>
      </c>
      <c r="L13" s="137" t="s">
        <v>134</v>
      </c>
      <c r="M13" s="138" t="s">
        <v>135</v>
      </c>
      <c r="N13" s="138" t="s">
        <v>136</v>
      </c>
      <c r="O13" s="139" t="s">
        <v>137</v>
      </c>
      <c r="P13" s="140" t="s">
        <v>0</v>
      </c>
      <c r="Q13" s="141"/>
      <c r="R13" s="142"/>
      <c r="T13" s="69"/>
      <c r="U13" s="69"/>
      <c r="V13" s="121"/>
    </row>
    <row r="14" spans="1:22" s="121" customFormat="1" ht="21.6" customHeight="1" thickBot="1" x14ac:dyDescent="0.3">
      <c r="B14" s="143" t="s">
        <v>138</v>
      </c>
      <c r="C14" s="144"/>
      <c r="D14" s="145"/>
      <c r="E14" s="145"/>
      <c r="F14" s="145"/>
      <c r="G14" s="146">
        <f>G20+G27+G32</f>
        <v>720.5</v>
      </c>
      <c r="H14" s="147">
        <f>IF(G20+G27+G32=0,0,(I20+I27+I32)/(G20+G27+G32))</f>
        <v>120.78417765440666</v>
      </c>
      <c r="I14" s="148">
        <f>I20+I32+I27</f>
        <v>87025</v>
      </c>
      <c r="J14" s="149">
        <f>J20+J32+J27</f>
        <v>0</v>
      </c>
      <c r="K14" s="150">
        <f>K20+K32+K27</f>
        <v>87025</v>
      </c>
      <c r="L14" s="151">
        <f>L20+L32+L27</f>
        <v>0</v>
      </c>
      <c r="M14" s="147">
        <f>M20+M32+M27</f>
        <v>0</v>
      </c>
      <c r="N14" s="148">
        <f t="shared" ref="N14:O14" si="0">N20+N32+N27</f>
        <v>0</v>
      </c>
      <c r="O14" s="147">
        <f t="shared" si="0"/>
        <v>0</v>
      </c>
      <c r="P14" s="150">
        <f>P20+P32+P27</f>
        <v>0</v>
      </c>
      <c r="Q14" s="152">
        <f>IF($K$72=0,0,K14/$K$72)</f>
        <v>0.69881075698810757</v>
      </c>
      <c r="R14" s="153" t="s">
        <v>139</v>
      </c>
      <c r="S14" s="73"/>
      <c r="T14" s="69"/>
      <c r="U14" s="69"/>
      <c r="V14" s="73"/>
    </row>
    <row r="15" spans="1:22" s="73" customFormat="1" ht="16.95" customHeight="1" outlineLevel="1" x14ac:dyDescent="0.25">
      <c r="B15" s="154" t="s">
        <v>140</v>
      </c>
      <c r="C15" s="155" t="s">
        <v>141</v>
      </c>
      <c r="D15" s="156"/>
      <c r="E15" s="156"/>
      <c r="F15" s="157"/>
      <c r="G15" s="158"/>
      <c r="H15" s="159"/>
      <c r="I15" s="158"/>
      <c r="J15" s="158"/>
      <c r="K15" s="160"/>
      <c r="L15" s="161"/>
      <c r="M15" s="159"/>
      <c r="N15" s="159"/>
      <c r="O15" s="159"/>
      <c r="P15" s="160"/>
      <c r="Q15" s="162"/>
      <c r="R15" s="163"/>
      <c r="S15" s="163"/>
      <c r="T15" s="163"/>
      <c r="U15" s="88"/>
      <c r="V15" s="121"/>
    </row>
    <row r="16" spans="1:22" s="121" customFormat="1" ht="16.95" customHeight="1" outlineLevel="1" x14ac:dyDescent="0.25">
      <c r="B16" s="164" t="s">
        <v>142</v>
      </c>
      <c r="C16" s="567" t="s">
        <v>23</v>
      </c>
      <c r="D16" s="568"/>
      <c r="E16" s="568"/>
      <c r="F16" s="569"/>
      <c r="G16" s="117">
        <f>SUMIF(Enseignements!$G$8:$G$89,Paramétrage!$D$6,Enseignements!U$8:U$89)*Paramétrage!$F$6+SUMIF(Enseignements!$G$8:$G$89,Paramétrage!$D$7,Enseignements!U$8:U$89)*Paramétrage!$F$7+SUMIF(Enseignements!$G$8:$G$89,Paramétrage!$D$8,Enseignements!U$8:U$89)*Paramétrage!$F$8+SUMIF(Enseignements!$G$8:$G$89,Paramétrage!$D$10,Enseignements!U$8:U$89)*Paramétrage!$F$10+SUMIF(Enseignements!$G$8:$G$89,Paramétrage!$D$11,Enseignements!U$8:U$89)*Paramétrage!$F$11+SUMIF(Enseignements!$G$8:$G$89,Paramétrage!$D$13,Enseignements!U$8:U$89)*Paramétrage!$F$13+SUMIF(Enseignements!$G$8:$G$89,Paramétrage!$D$14,Enseignements!U$8:U$89)*Paramétrage!$F$14+SUMIF(Enseignements!$G$8:$G$89,Paramétrage!$D$16,Enseignements!U$8:U$89)*Paramétrage!$F$16+SUMIF(Enseignements!$G$8:$G$89,Paramétrage!$D$17,Enseignements!U$8:U$89)*Paramétrage!$F$17+SUMIF(Enseignements!$G$8:$G$89,Paramétrage!$D$19,Enseignements!U$8:U$89)*Paramétrage!$F$19+SUMIF(Enseignements!$G$8:$G$89,Paramétrage!$D$20,Enseignements!U$8:U$89)*Paramétrage!$F$20+SUMIF(Enseignements!$G$8:$G$89,Paramétrage!$D$21,Enseignements!U$8:U$89)*Paramétrage!$F$21+SUMIF(Enseignements!$G$8:$G$89,Paramétrage!$D$23,Enseignements!U$8:U$89)*Paramétrage!$F$23+SUMIF(Enseignements!$G$8:$G$89,Paramétrage!$D$24,Enseignements!U$8:U$89)*Paramétrage!$F$24+SUMIF(Enseignements!$G$8:$G$89,Paramétrage!$D$26,Enseignements!U$8:U$89)*Paramétrage!$F$26+SUMIF(Enseignements!$G$8:$G$89,Paramétrage!$D$27,Enseignements!U$8:U$89)*Paramétrage!$F$27</f>
        <v>168.5</v>
      </c>
      <c r="H16" s="166">
        <v>218</v>
      </c>
      <c r="I16" s="167">
        <f>H16*G16</f>
        <v>36733</v>
      </c>
      <c r="J16" s="167">
        <f>I16-K16</f>
        <v>0</v>
      </c>
      <c r="K16" s="168">
        <f>IF($E$7=0,0,I16/$E$7*$E$8)</f>
        <v>36733</v>
      </c>
      <c r="L16" s="169"/>
      <c r="M16" s="79"/>
      <c r="N16" s="79"/>
      <c r="O16" s="79"/>
      <c r="P16" s="170">
        <f>SUM(L16:O16)</f>
        <v>0</v>
      </c>
      <c r="Q16" s="171">
        <f>IF($I16=0,0,$G16*$J16/$I16)</f>
        <v>0</v>
      </c>
      <c r="R16" s="171"/>
      <c r="S16" s="171"/>
      <c r="T16" s="171"/>
      <c r="U16" s="171"/>
      <c r="V16" s="172"/>
    </row>
    <row r="17" spans="2:23" s="121" customFormat="1" ht="16.95" customHeight="1" outlineLevel="1" x14ac:dyDescent="0.25">
      <c r="B17" s="164" t="s">
        <v>143</v>
      </c>
      <c r="C17" s="567" t="s">
        <v>24</v>
      </c>
      <c r="D17" s="568"/>
      <c r="E17" s="568"/>
      <c r="F17" s="569"/>
      <c r="G17" s="117">
        <f>SUMIF(Enseignements!$G$8:$G$89,Paramétrage!$D$6,Enseignements!V$8:V$89)*Paramétrage!$F$6+SUMIF(Enseignements!$G$8:$G$89,Paramétrage!$D$7,Enseignements!V$8:V$89)*Paramétrage!$F$7+SUMIF(Enseignements!$G$8:$G$89,Paramétrage!$D$8,Enseignements!V$8:V$89)*Paramétrage!$F$8+SUMIF(Enseignements!$G$8:$G$89,Paramétrage!$D$10,Enseignements!V$8:V$89)*Paramétrage!$F$10+SUMIF(Enseignements!$G$8:$G$89,Paramétrage!$D$11,Enseignements!V$8:V$89)*Paramétrage!$F$11+SUMIF(Enseignements!$G$8:$G$89,Paramétrage!$D$13,Enseignements!V$8:V$89)*Paramétrage!$F$13+SUMIF(Enseignements!$G$8:$G$89,Paramétrage!$D$14,Enseignements!V$8:V$89)*Paramétrage!$F$14+SUMIF(Enseignements!$G$8:$G$89,Paramétrage!$D$16,Enseignements!V$8:V$89)*Paramétrage!$F$16+SUMIF(Enseignements!$G$8:$G$89,Paramétrage!$D$17,Enseignements!V$8:V$89)*Paramétrage!$F$17+SUMIF(Enseignements!$G$8:$G$89,Paramétrage!$D$19,Enseignements!V$8:V$89)*Paramétrage!$F$19+SUMIF(Enseignements!$G$8:$G$89,Paramétrage!$D$20,Enseignements!V$8:V$89)*Paramétrage!$F$20+SUMIF(Enseignements!$G$8:$G$89,Paramétrage!$D$21,Enseignements!V$8:V$89)*Paramétrage!$F$21+SUMIF(Enseignements!$G$8:$G$89,Paramétrage!$D$23,Enseignements!V$8:V$89)*Paramétrage!$F$23+SUMIF(Enseignements!$G$8:$G$89,Paramétrage!$D$24,Enseignements!V$8:V$89)*Paramétrage!$F$24+SUMIF(Enseignements!$G$8:$G$89,Paramétrage!$D$26,Enseignements!V$8:V$89)*Paramétrage!$F$26+SUMIF(Enseignements!$G$8:$G$89,Paramétrage!$D$27,Enseignements!V$8:V$89)*Paramétrage!$F$27</f>
        <v>0</v>
      </c>
      <c r="H17" s="166">
        <v>110</v>
      </c>
      <c r="I17" s="173">
        <f>H17*G17</f>
        <v>0</v>
      </c>
      <c r="J17" s="167">
        <f t="shared" ref="J17:J19" si="1">I17-K17</f>
        <v>0</v>
      </c>
      <c r="K17" s="168">
        <f t="shared" ref="K17:K19" si="2">IF($E$7=0,0,I17/$E$7*$E$8)</f>
        <v>0</v>
      </c>
      <c r="L17" s="169"/>
      <c r="M17" s="79"/>
      <c r="N17" s="79"/>
      <c r="O17" s="79"/>
      <c r="P17" s="174">
        <f>SUM(L17:O17)</f>
        <v>0</v>
      </c>
      <c r="Q17" s="171">
        <f>IF($I17=0,0,$G17*$J17/$I17)</f>
        <v>0</v>
      </c>
      <c r="R17" s="171"/>
      <c r="S17" s="171"/>
      <c r="T17" s="171"/>
      <c r="U17" s="171"/>
      <c r="V17" s="172"/>
    </row>
    <row r="18" spans="2:23" s="121" customFormat="1" ht="16.95" customHeight="1" outlineLevel="1" x14ac:dyDescent="0.25">
      <c r="B18" s="164" t="s">
        <v>144</v>
      </c>
      <c r="C18" s="567" t="s">
        <v>145</v>
      </c>
      <c r="D18" s="568"/>
      <c r="E18" s="568"/>
      <c r="F18" s="569"/>
      <c r="G18" s="117">
        <f>SUMIF(Enseignements!$G$8:$G$89,Paramétrage!$D$6,Enseignements!W$8:W$89)*Paramétrage!$F$6+SUMIF(Enseignements!$G$8:$G$89,Paramétrage!$D$7,Enseignements!W$8:W$89)*Paramétrage!$F$7+SUMIF(Enseignements!$G$8:$G$89,Paramétrage!$D$8,Enseignements!W$8:W$89)*Paramétrage!$F$8+SUMIF(Enseignements!$G$8:$G$89,Paramétrage!$D$10,Enseignements!W$8:W$89)*Paramétrage!$F$10+SUMIF(Enseignements!$G$8:$G$89,Paramétrage!$D$11,Enseignements!W$8:W$89)*Paramétrage!$F$11+SUMIF(Enseignements!$G$8:$G$89,Paramétrage!$D$13,Enseignements!W$8:W$89)*Paramétrage!$F$13+SUMIF(Enseignements!$G$8:$G$89,Paramétrage!$D$14,Enseignements!W$8:W$89)*Paramétrage!$F$14+SUMIF(Enseignements!$G$8:$G$89,Paramétrage!$D$16,Enseignements!W$8:W$89)*Paramétrage!$F$16+SUMIF(Enseignements!$G$8:$G$89,Paramétrage!$D$17,Enseignements!W$8:W$89)*Paramétrage!$F$17+SUMIF(Enseignements!$G$8:$G$89,Paramétrage!$D$19,Enseignements!W$8:W$89)*Paramétrage!$F$19+SUMIF(Enseignements!$G$8:$G$89,Paramétrage!$D$20,Enseignements!W$8:W$89)*Paramétrage!$F$20+SUMIF(Enseignements!$G$8:$G$89,Paramétrage!$D$21,Enseignements!W$8:W$89)*Paramétrage!$F$21+SUMIF(Enseignements!$G$8:$G$89,Paramétrage!$D$23,Enseignements!W$8:W$89)*Paramétrage!$F$23+SUMIF(Enseignements!$G$8:$G$89,Paramétrage!$D$24,Enseignements!W$8:W$89)*Paramétrage!$F$24+SUMIF(Enseignements!$G$8:$G$89,Paramétrage!$D$26,Enseignements!W$8:W$89)*Paramétrage!$F$26+SUMIF(Enseignements!$G$8:$G$89,Paramétrage!$D$27,Enseignements!W$8:W$89)*Paramétrage!$F$27</f>
        <v>347</v>
      </c>
      <c r="H18" s="166">
        <v>56</v>
      </c>
      <c r="I18" s="173">
        <f>H18*G18</f>
        <v>19432</v>
      </c>
      <c r="J18" s="167">
        <f t="shared" si="1"/>
        <v>0</v>
      </c>
      <c r="K18" s="168">
        <f t="shared" si="2"/>
        <v>19432</v>
      </c>
      <c r="L18" s="169"/>
      <c r="M18" s="79"/>
      <c r="N18" s="79"/>
      <c r="O18" s="79"/>
      <c r="P18" s="174">
        <f>SUM(L18:O18)</f>
        <v>0</v>
      </c>
      <c r="Q18" s="171">
        <f>IF($I18=0,0,$G18*$J18/$I18)</f>
        <v>0</v>
      </c>
      <c r="R18" s="171"/>
      <c r="S18" s="171"/>
      <c r="T18" s="171"/>
      <c r="U18" s="171"/>
      <c r="V18" s="172"/>
    </row>
    <row r="19" spans="2:23" s="121" customFormat="1" ht="18.600000000000001" customHeight="1" outlineLevel="1" x14ac:dyDescent="0.25">
      <c r="B19" s="164" t="s">
        <v>146</v>
      </c>
      <c r="C19" s="567" t="s">
        <v>147</v>
      </c>
      <c r="D19" s="568"/>
      <c r="E19" s="568"/>
      <c r="F19" s="569"/>
      <c r="G19" s="117">
        <f>SUMIF(Enseignements!$G$8:$G$89,Paramétrage!$D$6,Enseignements!X$8:X$89)*Paramétrage!$F$6+SUMIF(Enseignements!$G$8:$G$89,Paramétrage!$D$7,Enseignements!X$8:X$89)*Paramétrage!$F$7+SUMIF(Enseignements!$G$8:$G$89,Paramétrage!$D$8,Enseignements!X$8:X$89)*Paramétrage!$F$8+SUMIF(Enseignements!$G$8:$G$89,Paramétrage!$D$10,Enseignements!X$8:X$89)*Paramétrage!$F$10+SUMIF(Enseignements!$G$8:$G$89,Paramétrage!$D$11,Enseignements!X$8:X$89)*Paramétrage!$F$11+SUMIF(Enseignements!$G$8:$G$89,Paramétrage!$D$13,Enseignements!X$8:X$89)*Paramétrage!$F$13+SUMIF(Enseignements!$G$8:$G$89,Paramétrage!$D$14,Enseignements!X$8:X$89)*Paramétrage!$F$14+SUMIF(Enseignements!$G$8:$G$89,Paramétrage!$D$16,Enseignements!X$8:X$89)*Paramétrage!$F$16+SUMIF(Enseignements!$G$8:$G$89,Paramétrage!$D$17,Enseignements!X$8:X$89)*Paramétrage!$F$17+SUMIF(Enseignements!$G$8:$G$89,Paramétrage!$D$19,Enseignements!X$8:X$89)*Paramétrage!$F$19+SUMIF(Enseignements!$G$8:$G$89,Paramétrage!$D$20,Enseignements!X$8:X$89)*Paramétrage!$F$20+SUMIF(Enseignements!$G$8:$G$89,Paramétrage!$D$21,Enseignements!X$8:X$89)*Paramétrage!$F$21+SUMIF(Enseignements!$G$8:$G$89,Paramétrage!$D$23,Enseignements!X$8:X$89)*Paramétrage!$F$23+SUMIF(Enseignements!$G$8:$G$89,Paramétrage!$D$24,Enseignements!X$8:X$89)*Paramétrage!$F$24+SUMIF(Enseignements!$G$8:$G$89,Paramétrage!$D$26,Enseignements!X$8:X$89)*Paramétrage!$F$26+SUMIF(Enseignements!$G$8:$G$89,Paramétrage!$D$27,Enseignements!X$8:X$89)*Paramétrage!$F$27</f>
        <v>0</v>
      </c>
      <c r="H19" s="175"/>
      <c r="I19" s="173">
        <f t="shared" ref="I19" si="3">H19*G19</f>
        <v>0</v>
      </c>
      <c r="J19" s="167">
        <f t="shared" si="1"/>
        <v>0</v>
      </c>
      <c r="K19" s="168">
        <f t="shared" si="2"/>
        <v>0</v>
      </c>
      <c r="L19" s="169"/>
      <c r="M19" s="169"/>
      <c r="N19" s="176"/>
      <c r="O19" s="79"/>
      <c r="P19" s="174">
        <f>SUM(L19:O19)</f>
        <v>0</v>
      </c>
      <c r="Q19" s="171">
        <f>IF($I19=0,0,$G19*$J19/$I19)</f>
        <v>0</v>
      </c>
      <c r="R19" s="171"/>
      <c r="S19" s="171"/>
      <c r="T19" s="171"/>
      <c r="U19" s="171"/>
      <c r="V19" s="172"/>
    </row>
    <row r="20" spans="2:23" s="121" customFormat="1" ht="22.2" customHeight="1" outlineLevel="1" thickBot="1" x14ac:dyDescent="0.3">
      <c r="B20" s="573" t="s">
        <v>148</v>
      </c>
      <c r="C20" s="574"/>
      <c r="D20" s="574"/>
      <c r="E20" s="574"/>
      <c r="F20" s="575"/>
      <c r="G20" s="177">
        <f>SUM(G16:G19)</f>
        <v>515.5</v>
      </c>
      <c r="H20" s="178">
        <f>IF(G20=0,0,I20/G20)</f>
        <v>108.95247332686712</v>
      </c>
      <c r="I20" s="179">
        <f>SUM(I16:I19)</f>
        <v>56165</v>
      </c>
      <c r="J20" s="180">
        <f>SUM(J16:J19)</f>
        <v>0</v>
      </c>
      <c r="K20" s="181">
        <f>SUM(K16:K19)</f>
        <v>56165</v>
      </c>
      <c r="L20" s="182">
        <f>SUM(L16:L19)</f>
        <v>0</v>
      </c>
      <c r="M20" s="179">
        <f>SUM(M16:M19)</f>
        <v>0</v>
      </c>
      <c r="N20" s="179">
        <f t="shared" ref="N20:P20" si="4">SUM(N16:N19)</f>
        <v>0</v>
      </c>
      <c r="O20" s="179">
        <f t="shared" si="4"/>
        <v>0</v>
      </c>
      <c r="P20" s="181">
        <f t="shared" si="4"/>
        <v>0</v>
      </c>
      <c r="Q20" s="152">
        <f>IF($K$72=0,0,K20/$K$72)</f>
        <v>0.45100495451004957</v>
      </c>
      <c r="R20" s="153" t="s">
        <v>139</v>
      </c>
      <c r="S20" s="73"/>
      <c r="T20" s="69"/>
      <c r="U20" s="69"/>
      <c r="V20" s="73"/>
    </row>
    <row r="21" spans="2:23" s="73" customFormat="1" ht="16.95" customHeight="1" outlineLevel="1" x14ac:dyDescent="0.25">
      <c r="B21" s="154" t="s">
        <v>149</v>
      </c>
      <c r="C21" s="155" t="s">
        <v>150</v>
      </c>
      <c r="D21" s="156"/>
      <c r="E21" s="156"/>
      <c r="F21" s="157"/>
      <c r="G21" s="158"/>
      <c r="H21" s="159"/>
      <c r="I21" s="158"/>
      <c r="J21" s="158"/>
      <c r="K21" s="160"/>
      <c r="L21" s="161"/>
      <c r="M21" s="159"/>
      <c r="N21" s="159"/>
      <c r="O21" s="159"/>
      <c r="P21" s="160"/>
      <c r="Q21" s="183"/>
      <c r="R21" s="69"/>
      <c r="S21" s="69"/>
      <c r="T21" s="69"/>
      <c r="U21" s="121"/>
      <c r="V21" s="121"/>
    </row>
    <row r="22" spans="2:23" s="121" customFormat="1" ht="16.95" customHeight="1" outlineLevel="1" x14ac:dyDescent="0.25">
      <c r="B22" s="164" t="s">
        <v>151</v>
      </c>
      <c r="C22" s="184" t="s">
        <v>152</v>
      </c>
      <c r="D22" s="185"/>
      <c r="E22" s="185"/>
      <c r="F22" s="186"/>
      <c r="G22" s="165">
        <f>SUMIF(Enseignements!$G$8:$G$89,Paramétrage!D15,Enseignements!Y$8:Y$89)</f>
        <v>51</v>
      </c>
      <c r="H22" s="166">
        <f>IF(G22=0,0,(SUMIF(Enseignements!$G$8:$G$89,Paramétrage!$D$15,Enseignements!X$8:X$89)*$H$16+SUMIF(Enseignements!$G$8:$G$89,Paramétrage!$D$15,Enseignements!V$8:V$89)*$H$17+SUMIF(Enseignements!$G$8:$G$89,Paramétrage!$D$15,Enseignements!W$8:W$89)*$H$18+SUMIF(Enseignements!$G$8:$G$89,Paramétrage!$D$15,Enseignements!X$8:X$89)*$H$19)/G22)</f>
        <v>23.058823529411764</v>
      </c>
      <c r="I22" s="167">
        <f>H22*G22</f>
        <v>1176</v>
      </c>
      <c r="J22" s="173">
        <f>I22-K22</f>
        <v>0</v>
      </c>
      <c r="K22" s="168">
        <f t="shared" ref="K22" si="5">IF($E$7=0,0,I22/$E$7*$E$8)</f>
        <v>1176</v>
      </c>
      <c r="L22" s="169"/>
      <c r="M22" s="176"/>
      <c r="N22" s="176"/>
      <c r="O22" s="79"/>
      <c r="P22" s="170">
        <f>SUM(L22:O22)</f>
        <v>0</v>
      </c>
      <c r="Q22" s="171">
        <f>IF($I22=0,0,$G22*$J22/$I22)</f>
        <v>0</v>
      </c>
      <c r="R22" s="171"/>
      <c r="S22" s="171"/>
      <c r="T22" s="171"/>
      <c r="U22" s="171"/>
      <c r="V22" s="171"/>
      <c r="W22" s="88"/>
    </row>
    <row r="23" spans="2:23" s="121" customFormat="1" ht="16.95" customHeight="1" outlineLevel="1" x14ac:dyDescent="0.25">
      <c r="B23" s="164" t="s">
        <v>153</v>
      </c>
      <c r="C23" s="567" t="s">
        <v>154</v>
      </c>
      <c r="D23" s="568"/>
      <c r="E23" s="568"/>
      <c r="F23" s="569"/>
      <c r="G23" s="165">
        <f>SUMIF(Enseignements!$G$8:$G$89,Paramétrage!$D$18,Enseignements!Y$8:Y$89)</f>
        <v>0</v>
      </c>
      <c r="H23" s="166">
        <f>IF(G23=0,0,(SUMIF(Enseignements!$G$8:$G$89,Paramétrage!$D$18,Enseignements!U$8:U$89)*$H$16+SUMIF(Enseignements!$G$8:$G$89,Paramétrage!$D$18,Enseignements!V$8:V$89)*$H$17+SUMIF(Enseignements!$G$8:$G$89,Paramétrage!$D$18,Enseignements!W$8:W$89)*$H$18+SUMIF(Enseignements!$G$8:$G$89,Paramétrage!$D$18,Enseignements!X$8:X$89)*$H$19)/G23)</f>
        <v>0</v>
      </c>
      <c r="I23" s="167">
        <f>H23*G23</f>
        <v>0</v>
      </c>
      <c r="J23" s="167">
        <f>I23-K23</f>
        <v>0</v>
      </c>
      <c r="K23" s="168">
        <f>IF($E$7=0,0,I23/$E$7*$E$8)</f>
        <v>0</v>
      </c>
      <c r="L23" s="79"/>
      <c r="M23" s="79"/>
      <c r="N23" s="79"/>
      <c r="O23" s="79"/>
      <c r="P23" s="174">
        <f>SUM(L23:O23)</f>
        <v>0</v>
      </c>
      <c r="Q23" s="171">
        <f>IF($I23=0,0,$G23*$J23/$I23)</f>
        <v>0</v>
      </c>
      <c r="R23" s="171"/>
      <c r="S23" s="171"/>
      <c r="T23" s="171"/>
      <c r="U23" s="171"/>
      <c r="V23" s="171"/>
      <c r="W23" s="88"/>
    </row>
    <row r="24" spans="2:23" s="121" customFormat="1" ht="16.95" customHeight="1" outlineLevel="1" x14ac:dyDescent="0.25">
      <c r="B24" s="164" t="s">
        <v>155</v>
      </c>
      <c r="C24" s="567" t="s">
        <v>156</v>
      </c>
      <c r="D24" s="568"/>
      <c r="E24" s="568"/>
      <c r="F24" s="569"/>
      <c r="G24" s="165">
        <f>SUMIF(Enseignements!$G$8:$G$89,Paramétrage!$D$9,Enseignements!Y$8:Y$89)</f>
        <v>0</v>
      </c>
      <c r="H24" s="166">
        <f>IF(G24=0,0,(SUMIF(Enseignements!$G$8:$G$89,Paramétrage!$D$9,Enseignements!U$8:U$89)*$H$16+SUMIF(Enseignements!$G$8:$G$89,Paramétrage!$D$9,Enseignements!V$8:V$89)*$H$17+SUMIF(Enseignements!$G$8:$G$89,Paramétrage!$D$9,Enseignements!W$8:W$89)*$H$18+SUMIF(Enseignements!$G$8:$G$89,Paramétrage!$D$9,Enseignements!X$8:X$89)*$H$19)/G24)</f>
        <v>0</v>
      </c>
      <c r="I24" s="167">
        <f>H24*G24</f>
        <v>0</v>
      </c>
      <c r="J24" s="173">
        <f>I24</f>
        <v>0</v>
      </c>
      <c r="K24" s="168">
        <v>0</v>
      </c>
      <c r="L24" s="169"/>
      <c r="M24" s="79"/>
      <c r="N24" s="79"/>
      <c r="O24" s="79"/>
      <c r="P24" s="174">
        <f>SUM(L24:O24)</f>
        <v>0</v>
      </c>
      <c r="Q24" s="171">
        <f>IF($I24=0,0,$G24*$J24/$I24)</f>
        <v>0</v>
      </c>
      <c r="R24" s="171"/>
      <c r="S24" s="171"/>
      <c r="T24" s="171"/>
      <c r="U24" s="171"/>
      <c r="V24" s="171"/>
      <c r="W24" s="88"/>
    </row>
    <row r="25" spans="2:23" s="121" customFormat="1" ht="16.95" customHeight="1" outlineLevel="1" x14ac:dyDescent="0.25">
      <c r="B25" s="164" t="s">
        <v>157</v>
      </c>
      <c r="C25" s="567" t="s">
        <v>158</v>
      </c>
      <c r="D25" s="568"/>
      <c r="E25" s="568"/>
      <c r="F25" s="569"/>
      <c r="G25" s="165">
        <f>SUMIF(Enseignements!$G$8:$G$89,Paramétrage!$D$12,Enseignements!Y$8:Y$89)</f>
        <v>120</v>
      </c>
      <c r="H25" s="166">
        <f>IF(G25=0,0,(SUMIF(Enseignements!$G$8:$G$89,Paramétrage!$D$12,Enseignements!U$8:U$89)*$H$16+SUMIF(Enseignements!$G$8:$G$89,Paramétrage!$D$12,Enseignements!V$8:V$89)*$H$17+SUMIF(Enseignements!$G$8:$G$89,Paramétrage!$D$12,Enseignements!W$8:W$89)*$H$18+SUMIF(Enseignements!$G$8:$G$89,Paramétrage!$D$12,Enseignements!X$8:X$89)*$H$19)/G25)</f>
        <v>185.6</v>
      </c>
      <c r="I25" s="167">
        <f>H25*G25</f>
        <v>22272</v>
      </c>
      <c r="J25" s="167">
        <f>I25-K25</f>
        <v>0</v>
      </c>
      <c r="K25" s="168">
        <f>I25</f>
        <v>22272</v>
      </c>
      <c r="L25" s="169"/>
      <c r="M25" s="176"/>
      <c r="N25" s="176"/>
      <c r="O25" s="79"/>
      <c r="P25" s="174">
        <f>SUM(L25:O25)</f>
        <v>0</v>
      </c>
      <c r="Q25" s="171">
        <f>IF($I25=0,0,$G25*$J25/$I25)</f>
        <v>0</v>
      </c>
      <c r="R25" s="171"/>
      <c r="S25" s="171"/>
      <c r="T25" s="171"/>
      <c r="U25" s="171"/>
      <c r="V25" s="171"/>
      <c r="W25" s="88"/>
    </row>
    <row r="26" spans="2:23" s="121" customFormat="1" ht="16.95" customHeight="1" outlineLevel="1" x14ac:dyDescent="0.25">
      <c r="B26" s="164" t="s">
        <v>159</v>
      </c>
      <c r="C26" s="567" t="s">
        <v>160</v>
      </c>
      <c r="D26" s="568"/>
      <c r="E26" s="568"/>
      <c r="F26" s="569"/>
      <c r="G26" s="165">
        <f>SUMIF(Enseignements!$G$8:$G$89,Paramétrage!$D$22,Enseignements!Y$8:Y$89)+SUMIF(Enseignements!$G$8:$G$89,Paramétrage!$D$25,Enseignements!Y$8:Y$89)</f>
        <v>10</v>
      </c>
      <c r="H26" s="166">
        <f>IF(G26=0,0,(SUMIF(Enseignements!$G$8:$G$89,Paramétrage!$D$22,Enseignements!U$8:U$89)*$H$16+SUMIF(Enseignements!$G$8:$G$89,Paramétrage!$D$22,Enseignements!V$8:V$89)*$H$17+SUMIF(Enseignements!$G$8:$G$89,Paramétrage!$D$22,Enseignements!W$8:W$89)*$H$18+SUMIF(Enseignements!$G$8:$G$89,Paramétrage!$D$22,Enseignements!X$8:X$89)*$H$19)/G26)+IF(G26=0,0,(SUMIF(Enseignements!$G$8:$G$89,Paramétrage!$D$25,Enseignements!U$8:U$89)*$H$16+SUMIF(Enseignements!$G$8:$G$89,Paramétrage!$D$25,Enseignements!V$8:V$89)*$H$17+SUMIF(Enseignements!$G$8:$G$89,Paramétrage!$D$25,Enseignements!W$8:W$89)*$H$18+SUMIF(Enseignements!$G$8:$G$89,Paramétrage!$D$25,Enseignements!X$8:X$89)*$H$19)/G26)</f>
        <v>218</v>
      </c>
      <c r="I26" s="167">
        <f>H26*G26</f>
        <v>2180</v>
      </c>
      <c r="J26" s="167">
        <f>I26-K26</f>
        <v>0</v>
      </c>
      <c r="K26" s="168">
        <f t="shared" ref="K26" si="6">IF($E$7=0,0,I26/$E$7*$E$8)</f>
        <v>2180</v>
      </c>
      <c r="L26" s="79"/>
      <c r="M26" s="79"/>
      <c r="N26" s="79"/>
      <c r="O26" s="79"/>
      <c r="P26" s="174">
        <f>SUM(L26:O26)</f>
        <v>0</v>
      </c>
      <c r="Q26" s="171">
        <f>IF($I26=0,0,$G26*$J26/$I26)</f>
        <v>0</v>
      </c>
      <c r="R26" s="171"/>
      <c r="S26" s="171"/>
      <c r="T26" s="171"/>
      <c r="U26" s="171"/>
      <c r="V26" s="171"/>
      <c r="W26" s="88"/>
    </row>
    <row r="27" spans="2:23" s="121" customFormat="1" ht="21.6" customHeight="1" outlineLevel="1" thickBot="1" x14ac:dyDescent="0.3">
      <c r="B27" s="573" t="s">
        <v>161</v>
      </c>
      <c r="C27" s="574"/>
      <c r="D27" s="574"/>
      <c r="E27" s="574"/>
      <c r="F27" s="575"/>
      <c r="G27" s="177">
        <f>SUM(G22:G26)</f>
        <v>181</v>
      </c>
      <c r="H27" s="178">
        <f>IF(G27=0,0,I27/G27)</f>
        <v>141.59116022099448</v>
      </c>
      <c r="I27" s="178">
        <f>SUM(I22:I26)</f>
        <v>25628</v>
      </c>
      <c r="J27" s="178">
        <f t="shared" ref="J27:K27" si="7">SUM(J22:J26)</f>
        <v>0</v>
      </c>
      <c r="K27" s="181">
        <f t="shared" si="7"/>
        <v>25628</v>
      </c>
      <c r="L27" s="187">
        <f>SUM(L22:L26)</f>
        <v>0</v>
      </c>
      <c r="M27" s="188">
        <f>SUM(M22:M26)</f>
        <v>0</v>
      </c>
      <c r="N27" s="189">
        <f t="shared" ref="N27:O27" si="8">SUM(N22:N26)</f>
        <v>0</v>
      </c>
      <c r="O27" s="179">
        <f t="shared" si="8"/>
        <v>0</v>
      </c>
      <c r="P27" s="181">
        <f t="shared" ref="P27" si="9">SUM(P22:P25)</f>
        <v>0</v>
      </c>
      <c r="Q27" s="152">
        <f>IF($K$72=0,0,K27/$K$72)</f>
        <v>0.20579284205792842</v>
      </c>
      <c r="R27" s="153" t="s">
        <v>139</v>
      </c>
      <c r="S27" s="73"/>
      <c r="T27" s="120"/>
    </row>
    <row r="28" spans="2:23" s="121" customFormat="1" ht="16.95" customHeight="1" outlineLevel="1" x14ac:dyDescent="0.25">
      <c r="B28" s="154" t="s">
        <v>162</v>
      </c>
      <c r="C28" s="155" t="s">
        <v>163</v>
      </c>
      <c r="D28" s="156"/>
      <c r="E28" s="156"/>
      <c r="F28" s="157"/>
      <c r="G28" s="158"/>
      <c r="H28" s="159"/>
      <c r="I28" s="158"/>
      <c r="J28" s="158"/>
      <c r="K28" s="160"/>
      <c r="L28" s="196"/>
      <c r="M28" s="197"/>
      <c r="N28" s="197"/>
      <c r="O28" s="197"/>
      <c r="P28" s="198"/>
      <c r="Q28" s="162"/>
      <c r="R28" s="199">
        <f t="shared" ref="R28:U28" si="10">IF($I28=0,0,IF($P28=0,0,$G28*$J28/$I28*L28/$P28))</f>
        <v>0</v>
      </c>
      <c r="S28" s="199">
        <f t="shared" si="10"/>
        <v>0</v>
      </c>
      <c r="T28" s="199">
        <f t="shared" si="10"/>
        <v>0</v>
      </c>
      <c r="U28" s="200">
        <f t="shared" si="10"/>
        <v>0</v>
      </c>
      <c r="V28" s="201"/>
    </row>
    <row r="29" spans="2:23" s="121" customFormat="1" ht="16.95" customHeight="1" outlineLevel="1" x14ac:dyDescent="0.25">
      <c r="B29" s="164" t="s">
        <v>164</v>
      </c>
      <c r="C29" s="567" t="s">
        <v>165</v>
      </c>
      <c r="D29" s="568"/>
      <c r="E29" s="568"/>
      <c r="F29" s="569"/>
      <c r="G29" s="79">
        <v>24</v>
      </c>
      <c r="H29" s="166">
        <f>+H16</f>
        <v>218</v>
      </c>
      <c r="I29" s="202">
        <f>H29*G29</f>
        <v>5232</v>
      </c>
      <c r="J29" s="167">
        <f t="shared" ref="J29:J31" si="11">I29-K29</f>
        <v>0</v>
      </c>
      <c r="K29" s="168">
        <f t="shared" ref="K29:K31" si="12">IF($E$7=0,0,I29/$E$7*$E$8)</f>
        <v>5232</v>
      </c>
      <c r="L29" s="203"/>
      <c r="M29" s="79"/>
      <c r="N29" s="79"/>
      <c r="O29" s="79"/>
      <c r="P29" s="174">
        <f>SUM(L29:O29)</f>
        <v>0</v>
      </c>
      <c r="Q29" s="171">
        <f>IF($I29=0,0,$G29*$J29/$I29)</f>
        <v>0</v>
      </c>
      <c r="R29" s="171"/>
      <c r="S29" s="171"/>
      <c r="T29" s="171"/>
      <c r="U29" s="171"/>
      <c r="V29" s="172"/>
      <c r="W29" s="204"/>
    </row>
    <row r="30" spans="2:23" s="121" customFormat="1" ht="16.95" customHeight="1" outlineLevel="1" x14ac:dyDescent="0.25">
      <c r="B30" s="164" t="s">
        <v>166</v>
      </c>
      <c r="C30" s="567" t="s">
        <v>167</v>
      </c>
      <c r="D30" s="568"/>
      <c r="E30" s="568"/>
      <c r="F30" s="569"/>
      <c r="G30" s="79"/>
      <c r="H30" s="166">
        <f>$H$20</f>
        <v>108.95247332686712</v>
      </c>
      <c r="I30" s="202">
        <f>H30*G30</f>
        <v>0</v>
      </c>
      <c r="J30" s="167">
        <f t="shared" si="11"/>
        <v>0</v>
      </c>
      <c r="K30" s="168">
        <f>I30</f>
        <v>0</v>
      </c>
      <c r="L30" s="203"/>
      <c r="M30" s="169"/>
      <c r="N30" s="79"/>
      <c r="O30" s="79"/>
      <c r="P30" s="174">
        <f>SUM(L30:O30)</f>
        <v>0</v>
      </c>
      <c r="Q30" s="171">
        <f t="shared" ref="Q30:Q31" si="13">IF($I30=0,0,$G30*$J30/$I30)</f>
        <v>0</v>
      </c>
      <c r="R30" s="171"/>
      <c r="S30" s="171"/>
      <c r="T30" s="171"/>
      <c r="U30" s="171"/>
      <c r="V30" s="172"/>
      <c r="W30" s="204"/>
    </row>
    <row r="31" spans="2:23" s="121" customFormat="1" ht="16.95" customHeight="1" outlineLevel="1" x14ac:dyDescent="0.25">
      <c r="B31" s="164" t="s">
        <v>168</v>
      </c>
      <c r="C31" s="367" t="s">
        <v>26</v>
      </c>
      <c r="D31" s="185"/>
      <c r="E31" s="185"/>
      <c r="F31" s="186"/>
      <c r="G31" s="205"/>
      <c r="H31" s="166">
        <f>$H$20</f>
        <v>108.95247332686712</v>
      </c>
      <c r="I31" s="206">
        <f>H31*G31</f>
        <v>0</v>
      </c>
      <c r="J31" s="167">
        <f t="shared" si="11"/>
        <v>0</v>
      </c>
      <c r="K31" s="168">
        <f t="shared" si="12"/>
        <v>0</v>
      </c>
      <c r="L31" s="207"/>
      <c r="M31" s="79"/>
      <c r="N31" s="79"/>
      <c r="O31" s="79"/>
      <c r="P31" s="174">
        <f>SUM(L31:O31)</f>
        <v>0</v>
      </c>
      <c r="Q31" s="171">
        <f t="shared" si="13"/>
        <v>0</v>
      </c>
      <c r="R31" s="171"/>
      <c r="S31" s="171"/>
      <c r="T31" s="171"/>
      <c r="U31" s="171"/>
      <c r="V31" s="172"/>
      <c r="W31" s="204"/>
    </row>
    <row r="32" spans="2:23" s="121" customFormat="1" ht="21" customHeight="1" outlineLevel="1" thickBot="1" x14ac:dyDescent="0.3">
      <c r="B32" s="573" t="s">
        <v>169</v>
      </c>
      <c r="C32" s="574"/>
      <c r="D32" s="574"/>
      <c r="E32" s="574"/>
      <c r="F32" s="575"/>
      <c r="G32" s="177">
        <f>SUM(G29:G31)</f>
        <v>24</v>
      </c>
      <c r="H32" s="178">
        <f>IF(G32=0,0,I32/G32)</f>
        <v>218</v>
      </c>
      <c r="I32" s="178">
        <f>SUM(I29:I31)</f>
        <v>5232</v>
      </c>
      <c r="J32" s="178">
        <f>SUM(J29:J31)</f>
        <v>0</v>
      </c>
      <c r="K32" s="390">
        <f>SUM(K29:K31)</f>
        <v>5232</v>
      </c>
      <c r="L32" s="182">
        <f t="shared" ref="L32:M32" si="14">SUM(L29:L31)</f>
        <v>0</v>
      </c>
      <c r="M32" s="179">
        <f t="shared" si="14"/>
        <v>0</v>
      </c>
      <c r="N32" s="179">
        <f>SUM(N29:N31)</f>
        <v>0</v>
      </c>
      <c r="O32" s="179">
        <f>SUM(O29:O31)</f>
        <v>0</v>
      </c>
      <c r="P32" s="181">
        <f t="shared" ref="P32" si="15">SUM(P28:P31)</f>
        <v>0</v>
      </c>
      <c r="Q32" s="152">
        <f>IF($K$72=0,0,K32/$K$72)</f>
        <v>4.2012960420129607E-2</v>
      </c>
      <c r="R32" s="153" t="s">
        <v>139</v>
      </c>
      <c r="S32" s="73"/>
      <c r="T32" s="120"/>
      <c r="U32" s="70"/>
    </row>
    <row r="33" spans="2:22" s="121" customFormat="1" ht="21" hidden="1" customHeight="1" outlineLevel="1" x14ac:dyDescent="0.25">
      <c r="B33" s="211"/>
      <c r="C33" s="212"/>
      <c r="D33" s="213"/>
      <c r="E33" s="214"/>
      <c r="F33" s="214"/>
      <c r="G33" s="214"/>
      <c r="H33" s="215" t="s">
        <v>170</v>
      </c>
      <c r="I33" s="216">
        <f>+G20+G27+G32</f>
        <v>720.5</v>
      </c>
      <c r="J33" s="216">
        <f>SUM(Q16:Q19)+SUM(Q22:Q26)+SUM(Q29:Q31)</f>
        <v>0</v>
      </c>
      <c r="K33" s="217">
        <f>I33-J33</f>
        <v>720.5</v>
      </c>
      <c r="L33" s="218"/>
      <c r="M33" s="218"/>
      <c r="N33" s="218"/>
      <c r="O33" s="218"/>
      <c r="P33" s="218"/>
      <c r="Q33" s="219"/>
      <c r="R33" s="219"/>
      <c r="S33" s="220"/>
      <c r="T33" s="221"/>
      <c r="U33" s="120"/>
      <c r="V33" s="222"/>
    </row>
    <row r="34" spans="2:22" s="121" customFormat="1" ht="21" customHeight="1" outlineLevel="1" thickBot="1" x14ac:dyDescent="0.3">
      <c r="B34" s="223"/>
      <c r="C34" s="224"/>
      <c r="D34" s="225"/>
      <c r="E34" s="226"/>
      <c r="F34" s="226"/>
      <c r="G34" s="226"/>
      <c r="H34" s="227" t="s">
        <v>171</v>
      </c>
      <c r="I34" s="228">
        <f>IF($E$7=0,0,(I32+I20+I27)/$E$7)</f>
        <v>4834.7222222222226</v>
      </c>
      <c r="J34" s="229">
        <f>IF($E$7-$E$8=0,0,(J32+J20+J27)/($E$7-$E$8))</f>
        <v>0</v>
      </c>
      <c r="K34" s="230">
        <f>IF($E$8=0,0,(K32+K20+K27)/$E$8)</f>
        <v>4834.7222222222226</v>
      </c>
      <c r="L34" s="218"/>
      <c r="M34" s="218"/>
      <c r="N34" s="218"/>
      <c r="O34" s="218"/>
      <c r="P34" s="218"/>
      <c r="Q34" s="219"/>
      <c r="R34" s="219"/>
      <c r="S34" s="220"/>
      <c r="T34" s="221"/>
      <c r="U34" s="120"/>
      <c r="V34" s="222"/>
    </row>
    <row r="35" spans="2:22" s="73" customFormat="1" ht="22.2" customHeight="1" thickBot="1" x14ac:dyDescent="0.3">
      <c r="B35" s="231" t="s">
        <v>172</v>
      </c>
      <c r="C35" s="232"/>
      <c r="D35" s="233"/>
      <c r="E35" s="233"/>
      <c r="F35" s="233"/>
      <c r="G35" s="233"/>
      <c r="H35" s="234"/>
      <c r="I35" s="235">
        <f t="shared" ref="I35:P35" si="16">SUM(I36:I44)</f>
        <v>4500</v>
      </c>
      <c r="J35" s="236">
        <f t="shared" si="16"/>
        <v>0</v>
      </c>
      <c r="K35" s="237">
        <f t="shared" si="16"/>
        <v>4500</v>
      </c>
      <c r="L35" s="151">
        <f t="shared" si="16"/>
        <v>0</v>
      </c>
      <c r="M35" s="147">
        <f t="shared" si="16"/>
        <v>0</v>
      </c>
      <c r="N35" s="148">
        <f t="shared" si="16"/>
        <v>0</v>
      </c>
      <c r="O35" s="147">
        <f t="shared" si="16"/>
        <v>0</v>
      </c>
      <c r="P35" s="238">
        <f t="shared" si="16"/>
        <v>0</v>
      </c>
      <c r="Q35" s="152">
        <f>IF($K$72=0,0,K35/$K$72)</f>
        <v>3.6135000361350006E-2</v>
      </c>
      <c r="R35" s="153" t="s">
        <v>139</v>
      </c>
      <c r="U35" s="121"/>
      <c r="V35" s="121"/>
    </row>
    <row r="36" spans="2:22" s="121" customFormat="1" ht="16.95" customHeight="1" outlineLevel="1" x14ac:dyDescent="0.25">
      <c r="B36" s="239" t="s">
        <v>173</v>
      </c>
      <c r="C36" s="240" t="s">
        <v>174</v>
      </c>
      <c r="D36" s="241"/>
      <c r="E36" s="241"/>
      <c r="F36" s="241"/>
      <c r="G36" s="241"/>
      <c r="H36" s="241"/>
      <c r="I36" s="242">
        <v>500</v>
      </c>
      <c r="J36" s="243">
        <f>I36-K36</f>
        <v>0</v>
      </c>
      <c r="K36" s="244">
        <f>IF($E$7=0,0,I36/$E$7*$E$8)</f>
        <v>500</v>
      </c>
      <c r="L36" s="245"/>
      <c r="M36" s="246"/>
      <c r="N36" s="247"/>
      <c r="O36" s="246"/>
      <c r="P36" s="248">
        <f>SUM(L36:O36)</f>
        <v>0</v>
      </c>
      <c r="Q36" s="249"/>
      <c r="R36" s="250"/>
      <c r="S36" s="73"/>
    </row>
    <row r="37" spans="2:22" s="121" customFormat="1" ht="16.95" customHeight="1" outlineLevel="1" x14ac:dyDescent="0.25">
      <c r="B37" s="97" t="s">
        <v>175</v>
      </c>
      <c r="C37" s="251" t="s">
        <v>176</v>
      </c>
      <c r="D37" s="252"/>
      <c r="E37" s="252"/>
      <c r="F37" s="252"/>
      <c r="G37" s="252"/>
      <c r="H37" s="252"/>
      <c r="I37" s="253"/>
      <c r="J37" s="166">
        <f>I37-K37</f>
        <v>0</v>
      </c>
      <c r="K37" s="254">
        <f t="shared" ref="K37:K44" si="17">IF($E$7=0,0,I37/$E$7*$E$8)</f>
        <v>0</v>
      </c>
      <c r="L37" s="203"/>
      <c r="M37" s="169"/>
      <c r="N37" s="255"/>
      <c r="O37" s="169"/>
      <c r="P37" s="174">
        <f>SUM(L37:O37)</f>
        <v>0</v>
      </c>
      <c r="Q37" s="249"/>
      <c r="R37" s="250"/>
      <c r="S37" s="73"/>
    </row>
    <row r="38" spans="2:22" s="121" customFormat="1" ht="16.95" customHeight="1" outlineLevel="1" x14ac:dyDescent="0.25">
      <c r="B38" s="97" t="s">
        <v>177</v>
      </c>
      <c r="C38" s="251" t="s">
        <v>178</v>
      </c>
      <c r="D38" s="252"/>
      <c r="E38" s="252"/>
      <c r="F38" s="252"/>
      <c r="G38" s="252"/>
      <c r="H38" s="252"/>
      <c r="I38" s="253"/>
      <c r="J38" s="166">
        <f>I38-K38</f>
        <v>0</v>
      </c>
      <c r="K38" s="254">
        <f t="shared" si="17"/>
        <v>0</v>
      </c>
      <c r="L38" s="203"/>
      <c r="M38" s="169"/>
      <c r="N38" s="255"/>
      <c r="O38" s="169"/>
      <c r="P38" s="174">
        <f t="shared" ref="P38:P44" si="18">SUM(L38:O38)</f>
        <v>0</v>
      </c>
      <c r="Q38" s="249"/>
      <c r="R38" s="250"/>
      <c r="S38" s="73"/>
    </row>
    <row r="39" spans="2:22" s="121" customFormat="1" ht="16.95" customHeight="1" outlineLevel="1" x14ac:dyDescent="0.25">
      <c r="B39" s="97" t="s">
        <v>179</v>
      </c>
      <c r="C39" s="251" t="s">
        <v>180</v>
      </c>
      <c r="D39" s="252"/>
      <c r="E39" s="252"/>
      <c r="F39" s="252"/>
      <c r="G39" s="252"/>
      <c r="H39" s="252"/>
      <c r="I39" s="253"/>
      <c r="J39" s="166">
        <f>I39-K39</f>
        <v>0</v>
      </c>
      <c r="K39" s="254">
        <f t="shared" si="17"/>
        <v>0</v>
      </c>
      <c r="L39" s="203"/>
      <c r="M39" s="169"/>
      <c r="N39" s="255"/>
      <c r="O39" s="169"/>
      <c r="P39" s="174">
        <f t="shared" si="18"/>
        <v>0</v>
      </c>
      <c r="Q39" s="249"/>
      <c r="R39" s="250"/>
      <c r="S39" s="73"/>
    </row>
    <row r="40" spans="2:22" s="121" customFormat="1" ht="16.95" customHeight="1" outlineLevel="1" x14ac:dyDescent="0.25">
      <c r="B40" s="97" t="s">
        <v>181</v>
      </c>
      <c r="C40" s="251" t="s">
        <v>182</v>
      </c>
      <c r="D40" s="252"/>
      <c r="E40" s="252"/>
      <c r="F40" s="252"/>
      <c r="G40" s="252"/>
      <c r="H40" s="252"/>
      <c r="I40" s="253">
        <v>2000</v>
      </c>
      <c r="J40" s="166">
        <f>I40-K40</f>
        <v>0</v>
      </c>
      <c r="K40" s="254">
        <f t="shared" si="17"/>
        <v>2000</v>
      </c>
      <c r="L40" s="203"/>
      <c r="M40" s="169"/>
      <c r="N40" s="255"/>
      <c r="O40" s="169"/>
      <c r="P40" s="174">
        <f>SUM(L40:O40)</f>
        <v>0</v>
      </c>
      <c r="Q40" s="249"/>
      <c r="R40" s="250"/>
      <c r="S40" s="73"/>
    </row>
    <row r="41" spans="2:22" s="121" customFormat="1" ht="16.95" customHeight="1" outlineLevel="1" x14ac:dyDescent="0.25">
      <c r="B41" s="97" t="s">
        <v>183</v>
      </c>
      <c r="C41" s="251" t="s">
        <v>184</v>
      </c>
      <c r="D41" s="252"/>
      <c r="E41" s="252"/>
      <c r="F41" s="252"/>
      <c r="G41" s="252"/>
      <c r="H41" s="252"/>
      <c r="I41" s="253"/>
      <c r="J41" s="166">
        <f t="shared" ref="J41:J44" si="19">I41-K41</f>
        <v>0</v>
      </c>
      <c r="K41" s="254">
        <v>0</v>
      </c>
      <c r="L41" s="203"/>
      <c r="M41" s="169"/>
      <c r="N41" s="255"/>
      <c r="O41" s="169"/>
      <c r="P41" s="174">
        <f>SUM(L41:O41)</f>
        <v>0</v>
      </c>
      <c r="Q41" s="249"/>
      <c r="R41" s="250"/>
      <c r="S41" s="73"/>
    </row>
    <row r="42" spans="2:22" s="121" customFormat="1" ht="16.95" customHeight="1" outlineLevel="1" x14ac:dyDescent="0.25">
      <c r="B42" s="97" t="s">
        <v>185</v>
      </c>
      <c r="C42" s="251" t="s">
        <v>186</v>
      </c>
      <c r="D42" s="252"/>
      <c r="E42" s="252"/>
      <c r="F42" s="252"/>
      <c r="G42" s="252"/>
      <c r="H42" s="252"/>
      <c r="I42" s="253">
        <v>2000</v>
      </c>
      <c r="J42" s="166">
        <f t="shared" si="19"/>
        <v>0</v>
      </c>
      <c r="K42" s="254">
        <f>I42</f>
        <v>2000</v>
      </c>
      <c r="L42" s="203"/>
      <c r="M42" s="169"/>
      <c r="N42" s="255"/>
      <c r="O42" s="169"/>
      <c r="P42" s="174">
        <f t="shared" si="18"/>
        <v>0</v>
      </c>
      <c r="Q42" s="249"/>
      <c r="R42" s="250"/>
      <c r="S42" s="73"/>
    </row>
    <row r="43" spans="2:22" s="121" customFormat="1" ht="16.95" customHeight="1" outlineLevel="1" x14ac:dyDescent="0.25">
      <c r="B43" s="97" t="s">
        <v>187</v>
      </c>
      <c r="C43" s="251" t="s">
        <v>188</v>
      </c>
      <c r="D43" s="252"/>
      <c r="E43" s="252"/>
      <c r="F43" s="252"/>
      <c r="G43" s="252"/>
      <c r="H43" s="252"/>
      <c r="I43" s="253"/>
      <c r="J43" s="166">
        <f t="shared" si="19"/>
        <v>0</v>
      </c>
      <c r="K43" s="254">
        <f t="shared" si="17"/>
        <v>0</v>
      </c>
      <c r="L43" s="203"/>
      <c r="M43" s="169"/>
      <c r="N43" s="255"/>
      <c r="O43" s="169"/>
      <c r="P43" s="174">
        <f t="shared" si="18"/>
        <v>0</v>
      </c>
      <c r="Q43" s="249"/>
      <c r="R43" s="250"/>
      <c r="S43" s="73"/>
    </row>
    <row r="44" spans="2:22" s="121" customFormat="1" ht="16.95" customHeight="1" outlineLevel="1" thickBot="1" x14ac:dyDescent="0.3">
      <c r="B44" s="256" t="s">
        <v>189</v>
      </c>
      <c r="C44" s="257" t="s">
        <v>190</v>
      </c>
      <c r="D44" s="258"/>
      <c r="E44" s="258"/>
      <c r="F44" s="258"/>
      <c r="G44" s="258"/>
      <c r="H44" s="259"/>
      <c r="I44" s="260"/>
      <c r="J44" s="261">
        <f t="shared" si="19"/>
        <v>0</v>
      </c>
      <c r="K44" s="262">
        <f t="shared" si="17"/>
        <v>0</v>
      </c>
      <c r="L44" s="263"/>
      <c r="M44" s="264"/>
      <c r="N44" s="265"/>
      <c r="O44" s="264"/>
      <c r="P44" s="266">
        <f t="shared" si="18"/>
        <v>0</v>
      </c>
      <c r="Q44" s="249"/>
      <c r="R44" s="250"/>
      <c r="S44" s="73"/>
    </row>
    <row r="45" spans="2:22" s="121" customFormat="1" ht="24.6" customHeight="1" outlineLevel="1" thickBot="1" x14ac:dyDescent="0.3">
      <c r="B45" s="267"/>
      <c r="C45" s="268"/>
      <c r="E45" s="269"/>
      <c r="F45" s="269"/>
      <c r="G45" s="269"/>
      <c r="H45" s="74" t="s">
        <v>191</v>
      </c>
      <c r="I45" s="270">
        <f>IF(E7=0,0,I35/$E$7)</f>
        <v>250</v>
      </c>
      <c r="J45" s="270">
        <f>IF(E7-E8=0,0,J35/($E$7-$E$8))</f>
        <v>0</v>
      </c>
      <c r="K45" s="230">
        <f>IF($E$8=0,0,K35/$E$8)</f>
        <v>250</v>
      </c>
      <c r="L45" s="218"/>
      <c r="M45" s="218"/>
      <c r="N45" s="218"/>
      <c r="O45" s="218"/>
      <c r="P45" s="218"/>
      <c r="Q45" s="249"/>
      <c r="R45" s="250"/>
      <c r="S45" s="73"/>
      <c r="U45" s="73"/>
      <c r="V45" s="73"/>
    </row>
    <row r="46" spans="2:22" s="73" customFormat="1" ht="21.6" customHeight="1" thickBot="1" x14ac:dyDescent="0.3">
      <c r="B46" s="143" t="s">
        <v>192</v>
      </c>
      <c r="C46" s="144"/>
      <c r="D46" s="145"/>
      <c r="E46" s="145"/>
      <c r="F46" s="145"/>
      <c r="G46" s="145"/>
      <c r="H46" s="271"/>
      <c r="I46" s="272">
        <f t="shared" ref="I46:P46" si="20">I35+I32+I20+I27</f>
        <v>91525</v>
      </c>
      <c r="J46" s="272">
        <f t="shared" si="20"/>
        <v>0</v>
      </c>
      <c r="K46" s="273">
        <f t="shared" si="20"/>
        <v>91525</v>
      </c>
      <c r="L46" s="272">
        <f t="shared" si="20"/>
        <v>0</v>
      </c>
      <c r="M46" s="272">
        <f t="shared" si="20"/>
        <v>0</v>
      </c>
      <c r="N46" s="272">
        <f t="shared" si="20"/>
        <v>0</v>
      </c>
      <c r="O46" s="272">
        <f t="shared" si="20"/>
        <v>0</v>
      </c>
      <c r="P46" s="274">
        <f t="shared" si="20"/>
        <v>0</v>
      </c>
      <c r="Q46" s="275">
        <f>IF($K$72=0,0,K46/$K$72)</f>
        <v>0.73494575734945755</v>
      </c>
      <c r="R46" s="153" t="s">
        <v>139</v>
      </c>
      <c r="S46" s="276"/>
      <c r="U46" s="70"/>
      <c r="V46" s="121"/>
    </row>
    <row r="47" spans="2:22" s="121" customFormat="1" ht="21" customHeight="1" thickBot="1" x14ac:dyDescent="0.3">
      <c r="B47" s="277"/>
      <c r="C47" s="278"/>
      <c r="D47" s="278"/>
      <c r="E47" s="279"/>
      <c r="F47" s="279"/>
      <c r="G47" s="279"/>
      <c r="H47" s="280" t="s">
        <v>193</v>
      </c>
      <c r="I47" s="228">
        <f>IF(E7=0,0,I46/E7)</f>
        <v>5084.7222222222226</v>
      </c>
      <c r="J47" s="270">
        <f>IF((E7-E8)=0,0,J46/(E7-E8))</f>
        <v>0</v>
      </c>
      <c r="K47" s="281">
        <f>IF(E8=0,0,K46/E8)</f>
        <v>5084.7222222222226</v>
      </c>
      <c r="L47" s="218"/>
      <c r="M47" s="218"/>
      <c r="N47" s="218"/>
      <c r="O47" s="218"/>
      <c r="P47" s="218"/>
      <c r="Q47" s="282"/>
      <c r="R47" s="250"/>
      <c r="S47" s="73"/>
      <c r="T47" s="120"/>
      <c r="U47" s="70"/>
    </row>
    <row r="48" spans="2:22" s="121" customFormat="1" ht="12" customHeight="1" thickBot="1" x14ac:dyDescent="0.3">
      <c r="B48" s="267"/>
      <c r="E48" s="269"/>
      <c r="F48" s="269"/>
      <c r="G48" s="269"/>
      <c r="H48" s="74"/>
      <c r="I48" s="228"/>
      <c r="J48" s="228"/>
      <c r="K48" s="283"/>
      <c r="L48" s="218"/>
      <c r="M48" s="218"/>
      <c r="N48" s="218"/>
      <c r="O48" s="218"/>
      <c r="P48" s="218"/>
      <c r="Q48" s="282"/>
      <c r="R48" s="250"/>
      <c r="S48" s="73"/>
      <c r="T48" s="120"/>
      <c r="U48" s="69"/>
      <c r="V48" s="69"/>
    </row>
    <row r="49" spans="1:22" s="69" customFormat="1" ht="55.8" thickBot="1" x14ac:dyDescent="0.3">
      <c r="B49" s="284" t="s">
        <v>194</v>
      </c>
      <c r="C49" s="285" t="s">
        <v>195</v>
      </c>
      <c r="D49" s="286"/>
      <c r="E49" s="286"/>
      <c r="F49" s="286"/>
      <c r="G49" s="286"/>
      <c r="H49" s="135" t="s">
        <v>196</v>
      </c>
      <c r="I49" s="134" t="s">
        <v>131</v>
      </c>
      <c r="J49" s="135" t="s">
        <v>132</v>
      </c>
      <c r="K49" s="136" t="s">
        <v>197</v>
      </c>
      <c r="L49" s="287" t="str">
        <f>L13</f>
        <v>Lyon 2</v>
      </c>
      <c r="M49" s="135" t="str">
        <f>M13</f>
        <v>Partenaire 1</v>
      </c>
      <c r="N49" s="135" t="str">
        <f>N13</f>
        <v>Partenaire 2</v>
      </c>
      <c r="O49" s="135" t="str">
        <f>O13</f>
        <v>Partenaire 3</v>
      </c>
      <c r="P49" s="140" t="s">
        <v>0</v>
      </c>
      <c r="Q49" s="288"/>
      <c r="R49" s="142"/>
      <c r="U49" s="73"/>
      <c r="V49" s="73"/>
    </row>
    <row r="50" spans="1:22" s="73" customFormat="1" ht="19.95" customHeight="1" thickBot="1" x14ac:dyDescent="0.3">
      <c r="B50" s="143" t="s">
        <v>198</v>
      </c>
      <c r="C50" s="144"/>
      <c r="D50" s="145"/>
      <c r="E50" s="145"/>
      <c r="F50" s="145"/>
      <c r="G50" s="145"/>
      <c r="H50" s="377"/>
      <c r="I50" s="148">
        <f>SUM(I51:I54)</f>
        <v>21528</v>
      </c>
      <c r="J50" s="149">
        <f>SUM(J51:J54)</f>
        <v>0</v>
      </c>
      <c r="K50" s="150">
        <f>SUM(K51:K54)</f>
        <v>21528</v>
      </c>
      <c r="L50" s="148">
        <f t="shared" ref="L50:P50" si="21">SUM(L51:L54)</f>
        <v>0</v>
      </c>
      <c r="M50" s="147">
        <f t="shared" si="21"/>
        <v>0</v>
      </c>
      <c r="N50" s="147">
        <f t="shared" si="21"/>
        <v>0</v>
      </c>
      <c r="O50" s="148">
        <f t="shared" si="21"/>
        <v>0</v>
      </c>
      <c r="P50" s="150">
        <f t="shared" si="21"/>
        <v>0</v>
      </c>
      <c r="Q50" s="183"/>
      <c r="R50" s="289"/>
    </row>
    <row r="51" spans="1:22" s="73" customFormat="1" ht="16.95" customHeight="1" outlineLevel="2" x14ac:dyDescent="0.25">
      <c r="B51" s="290" t="s">
        <v>199</v>
      </c>
      <c r="C51" s="291" t="s">
        <v>200</v>
      </c>
      <c r="D51" s="292"/>
      <c r="E51" s="292"/>
      <c r="F51" s="292"/>
      <c r="G51" s="293"/>
      <c r="H51" s="166">
        <f>IF(H5="Formation courte",312/2,312)</f>
        <v>312</v>
      </c>
      <c r="I51" s="166">
        <f>H51*E8</f>
        <v>5616</v>
      </c>
      <c r="J51" s="167">
        <f t="shared" ref="J51:J54" si="22">I51-K51</f>
        <v>0</v>
      </c>
      <c r="K51" s="168">
        <f>I51</f>
        <v>5616</v>
      </c>
      <c r="L51" s="294"/>
      <c r="M51" s="295"/>
      <c r="N51" s="295"/>
      <c r="O51" s="296"/>
      <c r="P51" s="170">
        <f>SUM(L51:O51)</f>
        <v>0</v>
      </c>
      <c r="Q51" s="183"/>
      <c r="R51" s="250"/>
      <c r="U51" s="121"/>
      <c r="V51" s="121"/>
    </row>
    <row r="52" spans="1:22" s="121" customFormat="1" ht="18.75" customHeight="1" outlineLevel="2" x14ac:dyDescent="0.25">
      <c r="B52" s="290" t="s">
        <v>201</v>
      </c>
      <c r="C52" s="297" t="s">
        <v>202</v>
      </c>
      <c r="D52" s="298"/>
      <c r="E52" s="298"/>
      <c r="F52" s="298"/>
      <c r="G52" s="299"/>
      <c r="H52" s="166">
        <f>IF(OR(H5="Diplôme Universitaire",H5="Formation courte"),708/500*Enseignements!H7,708)</f>
        <v>708</v>
      </c>
      <c r="I52" s="166">
        <f>H52*$E$7</f>
        <v>12744</v>
      </c>
      <c r="J52" s="167">
        <f>I52-K52</f>
        <v>0</v>
      </c>
      <c r="K52" s="168">
        <f>IF($E$7=0,0,I52/$E$7*$E$8)</f>
        <v>12744</v>
      </c>
      <c r="L52" s="294"/>
      <c r="M52" s="295"/>
      <c r="N52" s="295"/>
      <c r="O52" s="79"/>
      <c r="P52" s="174">
        <f>SUM(L52:O52)</f>
        <v>0</v>
      </c>
      <c r="Q52" s="125"/>
      <c r="R52" s="250"/>
      <c r="S52" s="73"/>
    </row>
    <row r="53" spans="1:22" s="121" customFormat="1" ht="18.75" customHeight="1" outlineLevel="2" x14ac:dyDescent="0.25">
      <c r="B53" s="290" t="s">
        <v>203</v>
      </c>
      <c r="C53" s="115" t="s">
        <v>204</v>
      </c>
      <c r="D53" s="300"/>
      <c r="E53" s="300"/>
      <c r="F53" s="300"/>
      <c r="G53" s="300"/>
      <c r="H53" s="166">
        <f>IF(OR(H5="Diplôme Universitaire",H5="Formation courte"),90/500*Enseignements!H7,90)</f>
        <v>90</v>
      </c>
      <c r="I53" s="166">
        <f t="shared" ref="I53:I58" si="23">H53*$E$7</f>
        <v>1620</v>
      </c>
      <c r="J53" s="167">
        <f t="shared" si="22"/>
        <v>0</v>
      </c>
      <c r="K53" s="168">
        <f t="shared" ref="K53:K58" si="24">IF($E$7=0,0,I53/$E$7*$E$8)</f>
        <v>1620</v>
      </c>
      <c r="L53" s="294"/>
      <c r="M53" s="295"/>
      <c r="N53" s="295"/>
      <c r="O53" s="79"/>
      <c r="P53" s="174">
        <f>SUM(L53:O53)</f>
        <v>0</v>
      </c>
      <c r="Q53" s="125"/>
      <c r="R53" s="250"/>
      <c r="S53" s="73"/>
    </row>
    <row r="54" spans="1:22" s="121" customFormat="1" ht="18.75" customHeight="1" outlineLevel="2" thickBot="1" x14ac:dyDescent="0.3">
      <c r="B54" s="290" t="s">
        <v>205</v>
      </c>
      <c r="C54" s="115" t="s">
        <v>206</v>
      </c>
      <c r="D54" s="300"/>
      <c r="E54" s="300"/>
      <c r="F54" s="300"/>
      <c r="G54" s="300"/>
      <c r="H54" s="166">
        <f>IF(OR(H5="Diplôme Universitaire",H5="Formation courte"),86/500*Enseignements!H7,86)</f>
        <v>86</v>
      </c>
      <c r="I54" s="166">
        <f t="shared" si="23"/>
        <v>1548</v>
      </c>
      <c r="J54" s="167">
        <f t="shared" si="22"/>
        <v>0</v>
      </c>
      <c r="K54" s="168">
        <f t="shared" si="24"/>
        <v>1548</v>
      </c>
      <c r="L54" s="294"/>
      <c r="M54" s="295"/>
      <c r="N54" s="295"/>
      <c r="O54" s="79"/>
      <c r="P54" s="174">
        <f>SUM(L54:O54)</f>
        <v>0</v>
      </c>
      <c r="Q54" s="125"/>
      <c r="R54" s="250"/>
      <c r="S54" s="73"/>
      <c r="U54" s="73"/>
      <c r="V54" s="73"/>
    </row>
    <row r="55" spans="1:22" s="73" customFormat="1" ht="19.2" customHeight="1" thickBot="1" x14ac:dyDescent="0.3">
      <c r="B55" s="143" t="s">
        <v>207</v>
      </c>
      <c r="C55" s="144"/>
      <c r="D55" s="145"/>
      <c r="E55" s="145"/>
      <c r="F55" s="145"/>
      <c r="G55" s="145"/>
      <c r="H55" s="271"/>
      <c r="I55" s="148">
        <f>SUM(I56:I58)</f>
        <v>17352</v>
      </c>
      <c r="J55" s="149">
        <f>SUM(J56:J58)</f>
        <v>0</v>
      </c>
      <c r="K55" s="150">
        <f>SUM(K56:K58)</f>
        <v>17352</v>
      </c>
      <c r="L55" s="148">
        <f t="shared" ref="L55:P55" si="25">SUM(L56:L58)</f>
        <v>0</v>
      </c>
      <c r="M55" s="147">
        <f t="shared" si="25"/>
        <v>0</v>
      </c>
      <c r="N55" s="147">
        <f t="shared" si="25"/>
        <v>0</v>
      </c>
      <c r="O55" s="148">
        <f t="shared" si="25"/>
        <v>0</v>
      </c>
      <c r="P55" s="150">
        <f t="shared" si="25"/>
        <v>0</v>
      </c>
      <c r="Q55" s="301"/>
      <c r="R55" s="250"/>
    </row>
    <row r="56" spans="1:22" s="73" customFormat="1" ht="16.95" customHeight="1" outlineLevel="1" x14ac:dyDescent="0.25">
      <c r="B56" s="97" t="s">
        <v>208</v>
      </c>
      <c r="C56" s="251" t="s">
        <v>209</v>
      </c>
      <c r="D56" s="252"/>
      <c r="E56" s="252"/>
      <c r="F56" s="252"/>
      <c r="G56" s="252"/>
      <c r="H56" s="166">
        <f>IF(OR(H5="Diplôme Universitaire",H5="Formation courte"),222/500*Enseignements!H7,222)</f>
        <v>222</v>
      </c>
      <c r="I56" s="166">
        <f t="shared" si="23"/>
        <v>3996</v>
      </c>
      <c r="J56" s="167">
        <f t="shared" ref="J56:J58" si="26">I56-K56</f>
        <v>0</v>
      </c>
      <c r="K56" s="168">
        <f t="shared" si="24"/>
        <v>3996</v>
      </c>
      <c r="L56" s="294"/>
      <c r="M56" s="295"/>
      <c r="N56" s="295"/>
      <c r="O56" s="79"/>
      <c r="P56" s="174">
        <f>SUM(L56:O56)</f>
        <v>0</v>
      </c>
      <c r="Q56" s="125"/>
      <c r="R56" s="302"/>
    </row>
    <row r="57" spans="1:22" s="73" customFormat="1" ht="16.95" customHeight="1" outlineLevel="1" x14ac:dyDescent="0.25">
      <c r="B57" s="97" t="s">
        <v>210</v>
      </c>
      <c r="C57" s="251" t="s">
        <v>211</v>
      </c>
      <c r="D57" s="252"/>
      <c r="E57" s="252"/>
      <c r="F57" s="252"/>
      <c r="G57" s="252"/>
      <c r="H57" s="166">
        <f>IF(OR(H5="Diplôme Universitaire",H5="Formation courte"),550/500*Enseignements!H7,550)</f>
        <v>550</v>
      </c>
      <c r="I57" s="166">
        <f t="shared" si="23"/>
        <v>9900</v>
      </c>
      <c r="J57" s="167">
        <f t="shared" si="26"/>
        <v>0</v>
      </c>
      <c r="K57" s="168">
        <f t="shared" si="24"/>
        <v>9900</v>
      </c>
      <c r="L57" s="294"/>
      <c r="M57" s="295"/>
      <c r="N57" s="295"/>
      <c r="O57" s="79"/>
      <c r="P57" s="174">
        <f>SUM(L57:O57)</f>
        <v>0</v>
      </c>
      <c r="Q57" s="125"/>
      <c r="R57" s="250"/>
    </row>
    <row r="58" spans="1:22" s="73" customFormat="1" ht="16.95" customHeight="1" outlineLevel="1" thickBot="1" x14ac:dyDescent="0.3">
      <c r="B58" s="97" t="s">
        <v>212</v>
      </c>
      <c r="C58" s="251" t="s">
        <v>213</v>
      </c>
      <c r="D58" s="252"/>
      <c r="E58" s="252"/>
      <c r="F58" s="252"/>
      <c r="G58" s="252"/>
      <c r="H58" s="166">
        <f>IF(OR(H5="Diplôme Universitaire",H5="Formation courte"),192/500*Enseignements!H7,192)</f>
        <v>192</v>
      </c>
      <c r="I58" s="166">
        <f t="shared" si="23"/>
        <v>3456</v>
      </c>
      <c r="J58" s="167">
        <f t="shared" si="26"/>
        <v>0</v>
      </c>
      <c r="K58" s="168">
        <f t="shared" si="24"/>
        <v>3456</v>
      </c>
      <c r="L58" s="294"/>
      <c r="M58" s="295"/>
      <c r="N58" s="295"/>
      <c r="O58" s="79"/>
      <c r="P58" s="174">
        <f>SUM(L58:O58)</f>
        <v>0</v>
      </c>
      <c r="Q58" s="125"/>
      <c r="R58" s="250"/>
    </row>
    <row r="59" spans="1:22" s="73" customFormat="1" ht="21.6" customHeight="1" thickBot="1" x14ac:dyDescent="0.3">
      <c r="B59" s="143" t="s">
        <v>214</v>
      </c>
      <c r="C59" s="144"/>
      <c r="D59" s="145"/>
      <c r="E59" s="145"/>
      <c r="F59" s="145"/>
      <c r="G59" s="145"/>
      <c r="H59" s="271"/>
      <c r="I59" s="148">
        <f>I50+I55</f>
        <v>38880</v>
      </c>
      <c r="J59" s="149">
        <f>J50+J55</f>
        <v>0</v>
      </c>
      <c r="K59" s="150">
        <f>K50+K55</f>
        <v>38880</v>
      </c>
      <c r="L59" s="148">
        <f t="shared" ref="L59:P59" si="27">L50+L55</f>
        <v>0</v>
      </c>
      <c r="M59" s="147">
        <f t="shared" si="27"/>
        <v>0</v>
      </c>
      <c r="N59" s="147">
        <f t="shared" si="27"/>
        <v>0</v>
      </c>
      <c r="O59" s="148">
        <f t="shared" si="27"/>
        <v>0</v>
      </c>
      <c r="P59" s="150">
        <f t="shared" si="27"/>
        <v>0</v>
      </c>
      <c r="Q59" s="152">
        <f>IF($K$72=0,0,K59/$K$72)</f>
        <v>0.31220640312206405</v>
      </c>
      <c r="R59" s="303" t="s">
        <v>139</v>
      </c>
      <c r="S59" s="304">
        <f>IF((K59+K46)=0,0,K59/(K59+K46))</f>
        <v>0.29814807714428126</v>
      </c>
      <c r="T59" s="153" t="s">
        <v>215</v>
      </c>
      <c r="U59" s="70"/>
    </row>
    <row r="60" spans="1:22" ht="21" customHeight="1" thickBot="1" x14ac:dyDescent="0.3">
      <c r="A60" s="73"/>
      <c r="B60" s="277"/>
      <c r="C60" s="305"/>
      <c r="D60" s="305"/>
      <c r="E60" s="279"/>
      <c r="F60" s="279"/>
      <c r="G60" s="279"/>
      <c r="H60" s="74" t="s">
        <v>216</v>
      </c>
      <c r="I60" s="270">
        <f>IF(E7=0,0,I59/E7)</f>
        <v>2160</v>
      </c>
      <c r="J60" s="270">
        <f>IF((E7-E8)=0,0,J59/(E7-E8))</f>
        <v>0</v>
      </c>
      <c r="K60" s="281">
        <f>IF(E8=0,0,K59/E8)</f>
        <v>2160</v>
      </c>
      <c r="L60" s="218"/>
      <c r="M60" s="218"/>
      <c r="N60" s="218"/>
      <c r="O60" s="218"/>
      <c r="P60" s="218"/>
      <c r="Q60" s="73"/>
      <c r="R60" s="73"/>
      <c r="S60" s="73"/>
      <c r="T60" s="120"/>
      <c r="U60" s="73"/>
      <c r="V60" s="73"/>
    </row>
    <row r="61" spans="1:22" s="73" customFormat="1" ht="13.2" customHeight="1" thickBot="1" x14ac:dyDescent="0.3">
      <c r="B61" s="306"/>
      <c r="C61" s="307"/>
      <c r="D61" s="307"/>
      <c r="E61" s="307"/>
      <c r="F61" s="307"/>
      <c r="G61" s="307"/>
      <c r="H61" s="307"/>
      <c r="I61" s="308"/>
      <c r="J61" s="308"/>
      <c r="K61" s="309"/>
      <c r="L61" s="310"/>
      <c r="M61" s="310"/>
      <c r="N61" s="310"/>
      <c r="O61" s="310"/>
      <c r="P61" s="310"/>
      <c r="Q61" s="311"/>
      <c r="R61" s="69"/>
    </row>
    <row r="62" spans="1:22" s="73" customFormat="1" ht="24.6" customHeight="1" thickBot="1" x14ac:dyDescent="0.3">
      <c r="B62" s="312" t="s">
        <v>217</v>
      </c>
      <c r="C62" s="312"/>
      <c r="D62" s="313"/>
      <c r="E62" s="314"/>
      <c r="F62" s="313"/>
      <c r="G62" s="315"/>
      <c r="H62" s="316"/>
      <c r="I62" s="317">
        <f>I59+I46</f>
        <v>130405</v>
      </c>
      <c r="J62" s="317">
        <f>J59+J46</f>
        <v>0</v>
      </c>
      <c r="K62" s="318">
        <f>K59+K46</f>
        <v>130405</v>
      </c>
      <c r="L62" s="317">
        <f t="shared" ref="L62:O62" si="28">L59+L46</f>
        <v>0</v>
      </c>
      <c r="M62" s="317">
        <f t="shared" si="28"/>
        <v>0</v>
      </c>
      <c r="N62" s="317">
        <f t="shared" si="28"/>
        <v>0</v>
      </c>
      <c r="O62" s="317">
        <f t="shared" si="28"/>
        <v>0</v>
      </c>
      <c r="P62" s="318">
        <f>P59+P46</f>
        <v>0</v>
      </c>
      <c r="Q62" s="152">
        <f>IF($K$72=0,0,K62/$K$72)</f>
        <v>1.0471521604715217</v>
      </c>
      <c r="R62" s="153" t="s">
        <v>139</v>
      </c>
      <c r="U62" s="121"/>
      <c r="V62" s="121"/>
    </row>
    <row r="63" spans="1:22" s="121" customFormat="1" ht="18.75" customHeight="1" x14ac:dyDescent="0.25">
      <c r="B63" s="211"/>
      <c r="C63" s="292"/>
      <c r="D63" s="319"/>
      <c r="E63" s="319"/>
      <c r="F63" s="319"/>
      <c r="G63" s="320"/>
      <c r="H63" s="320" t="s">
        <v>218</v>
      </c>
      <c r="I63" s="321">
        <f>IF(E7=0,0,I62/$E$7)</f>
        <v>7244.7222222222226</v>
      </c>
      <c r="J63" s="322">
        <f>IF(($E$7-$E$8)=0,0,J62/($E$7-$E$8))</f>
        <v>0</v>
      </c>
      <c r="K63" s="323">
        <f>IF(E8=0,0,K62/$E$8)</f>
        <v>7244.7222222222226</v>
      </c>
      <c r="L63" s="324"/>
      <c r="M63" s="324"/>
      <c r="N63" s="324"/>
      <c r="O63" s="325"/>
      <c r="P63" s="325"/>
      <c r="Q63" s="125"/>
      <c r="R63" s="250"/>
      <c r="S63" s="73"/>
    </row>
    <row r="64" spans="1:22" s="121" customFormat="1" ht="18.600000000000001" customHeight="1" thickBot="1" x14ac:dyDescent="0.3">
      <c r="B64" s="223"/>
      <c r="C64" s="326"/>
      <c r="D64" s="327"/>
      <c r="E64" s="327"/>
      <c r="F64" s="327"/>
      <c r="G64" s="328"/>
      <c r="H64" s="328" t="s">
        <v>219</v>
      </c>
      <c r="I64" s="261">
        <f t="shared" ref="I64:P64" si="29">IF(I33=0,0,I62/I33)</f>
        <v>180.99236641221373</v>
      </c>
      <c r="J64" s="261">
        <f t="shared" si="29"/>
        <v>0</v>
      </c>
      <c r="K64" s="261">
        <f t="shared" si="29"/>
        <v>180.99236641221373</v>
      </c>
      <c r="L64" s="261">
        <f t="shared" si="29"/>
        <v>0</v>
      </c>
      <c r="M64" s="261">
        <f t="shared" si="29"/>
        <v>0</v>
      </c>
      <c r="N64" s="261">
        <f t="shared" si="29"/>
        <v>0</v>
      </c>
      <c r="O64" s="261">
        <f t="shared" si="29"/>
        <v>0</v>
      </c>
      <c r="P64" s="370">
        <f t="shared" si="29"/>
        <v>0</v>
      </c>
      <c r="Q64" s="371"/>
      <c r="R64" s="250"/>
      <c r="S64" s="73"/>
      <c r="U64" s="73"/>
      <c r="V64" s="73"/>
    </row>
    <row r="65" spans="2:24" ht="14.4" thickBot="1" x14ac:dyDescent="0.3">
      <c r="B65" s="329"/>
      <c r="C65" s="329"/>
      <c r="D65" s="329"/>
      <c r="E65" s="329"/>
      <c r="F65" s="73"/>
      <c r="G65" s="73"/>
      <c r="H65" s="73"/>
      <c r="I65" s="73"/>
      <c r="J65" s="73"/>
      <c r="K65" s="73"/>
      <c r="L65" s="73"/>
      <c r="M65" s="73"/>
      <c r="N65" s="73"/>
      <c r="O65" s="73"/>
      <c r="P65" s="73"/>
      <c r="Q65" s="330"/>
      <c r="R65" s="69"/>
      <c r="S65" s="73"/>
      <c r="T65" s="73"/>
      <c r="U65" s="69"/>
      <c r="V65" s="73"/>
      <c r="W65" s="73"/>
      <c r="X65" s="73"/>
    </row>
    <row r="66" spans="2:24" ht="24.6" customHeight="1" thickBot="1" x14ac:dyDescent="0.3">
      <c r="B66" s="521" t="s">
        <v>220</v>
      </c>
      <c r="C66" s="522"/>
      <c r="D66" s="522"/>
      <c r="E66" s="522"/>
      <c r="F66" s="522"/>
      <c r="G66" s="522"/>
      <c r="H66" s="522"/>
      <c r="I66" s="522"/>
      <c r="J66" s="522"/>
      <c r="K66" s="523"/>
      <c r="L66" s="126"/>
      <c r="M66" s="127"/>
      <c r="N66" s="127"/>
      <c r="O66" s="127"/>
      <c r="P66" s="128"/>
      <c r="Q66" s="69"/>
      <c r="R66" s="69"/>
      <c r="S66" s="73"/>
      <c r="T66" s="69"/>
      <c r="U66" s="73"/>
      <c r="V66" s="73"/>
      <c r="W66" s="73"/>
      <c r="X66" s="73"/>
    </row>
    <row r="67" spans="2:24" ht="7.5" customHeight="1" thickBot="1" x14ac:dyDescent="0.3">
      <c r="B67" s="331"/>
      <c r="C67" s="73"/>
      <c r="D67" s="73"/>
      <c r="E67" s="73"/>
      <c r="F67" s="73"/>
      <c r="G67" s="73"/>
      <c r="H67" s="110"/>
      <c r="I67" s="332"/>
      <c r="J67" s="332"/>
      <c r="K67" s="333"/>
      <c r="L67" s="334"/>
      <c r="M67" s="334"/>
      <c r="N67" s="334"/>
      <c r="O67" s="334"/>
      <c r="P67" s="334"/>
      <c r="Q67" s="71"/>
      <c r="R67" s="69"/>
      <c r="S67" s="73"/>
      <c r="T67" s="73"/>
      <c r="U67" s="69"/>
      <c r="V67" s="69"/>
      <c r="W67" s="73"/>
      <c r="X67" s="73"/>
    </row>
    <row r="68" spans="2:24" s="69" customFormat="1" ht="55.8" thickBot="1" x14ac:dyDescent="0.3">
      <c r="B68" s="284" t="s">
        <v>221</v>
      </c>
      <c r="C68" s="285" t="s">
        <v>222</v>
      </c>
      <c r="D68" s="286"/>
      <c r="E68" s="286"/>
      <c r="F68" s="286"/>
      <c r="G68" s="286"/>
      <c r="H68" s="335"/>
      <c r="I68" s="336" t="s">
        <v>131</v>
      </c>
      <c r="J68" s="135" t="s">
        <v>132</v>
      </c>
      <c r="K68" s="136" t="s">
        <v>197</v>
      </c>
      <c r="L68" s="287" t="s">
        <v>134</v>
      </c>
      <c r="M68" s="134" t="s">
        <v>135</v>
      </c>
      <c r="N68" s="134" t="s">
        <v>136</v>
      </c>
      <c r="O68" s="337" t="s">
        <v>137</v>
      </c>
      <c r="P68" s="338" t="s">
        <v>0</v>
      </c>
      <c r="Q68" s="288"/>
      <c r="R68" s="142"/>
      <c r="U68" s="73"/>
      <c r="V68" s="73"/>
    </row>
    <row r="69" spans="2:24" ht="24" customHeight="1" x14ac:dyDescent="0.25">
      <c r="B69" s="239" t="s">
        <v>223</v>
      </c>
      <c r="C69" s="291" t="s">
        <v>224</v>
      </c>
      <c r="D69" s="339"/>
      <c r="E69" s="339"/>
      <c r="F69" s="339"/>
      <c r="G69" s="339"/>
      <c r="H69" s="340"/>
      <c r="I69" s="341">
        <f>J69+K69</f>
        <v>118533</v>
      </c>
      <c r="J69" s="341">
        <f>'Recettes et simulat'!G16</f>
        <v>0</v>
      </c>
      <c r="K69" s="342">
        <f>'Recettes et simulat'!J28</f>
        <v>118533</v>
      </c>
      <c r="L69" s="245"/>
      <c r="M69" s="246"/>
      <c r="N69" s="343"/>
      <c r="O69" s="343"/>
      <c r="P69" s="248">
        <f>SUM(L69:O69)</f>
        <v>0</v>
      </c>
      <c r="Q69" s="69"/>
      <c r="R69" s="69"/>
      <c r="S69" s="73"/>
      <c r="T69" s="73"/>
      <c r="U69" s="73"/>
      <c r="V69" s="73"/>
      <c r="W69" s="73"/>
      <c r="X69" s="69"/>
    </row>
    <row r="70" spans="2:24" ht="27" customHeight="1" thickBot="1" x14ac:dyDescent="0.3">
      <c r="B70" s="256" t="s">
        <v>225</v>
      </c>
      <c r="C70" s="257" t="s">
        <v>226</v>
      </c>
      <c r="D70" s="344"/>
      <c r="E70" s="344"/>
      <c r="F70" s="344"/>
      <c r="G70" s="344"/>
      <c r="H70" s="345"/>
      <c r="I70" s="346">
        <f>J70+K70</f>
        <v>6000</v>
      </c>
      <c r="J70" s="347"/>
      <c r="K70" s="348">
        <f>'Recettes et simulat'!F39</f>
        <v>6000</v>
      </c>
      <c r="L70" s="263"/>
      <c r="M70" s="264"/>
      <c r="N70" s="264"/>
      <c r="O70" s="349"/>
      <c r="P70" s="266">
        <f>SUM(L70:O70)</f>
        <v>0</v>
      </c>
      <c r="Q70" s="69"/>
      <c r="R70" s="69"/>
      <c r="S70" s="73"/>
      <c r="T70" s="73"/>
      <c r="U70" s="73"/>
      <c r="V70" s="73"/>
      <c r="W70" s="73"/>
      <c r="X70" s="69"/>
    </row>
    <row r="71" spans="2:24" ht="11.4" customHeight="1" thickBot="1" x14ac:dyDescent="0.3">
      <c r="B71" s="350"/>
      <c r="C71" s="351"/>
      <c r="D71" s="352"/>
      <c r="E71" s="351"/>
      <c r="F71" s="352"/>
      <c r="G71" s="352"/>
      <c r="H71" s="352"/>
      <c r="I71" s="353"/>
      <c r="J71" s="353"/>
      <c r="K71" s="354"/>
      <c r="L71" s="353"/>
      <c r="M71" s="353"/>
      <c r="N71" s="353"/>
      <c r="O71" s="353"/>
      <c r="P71" s="353"/>
      <c r="Q71" s="355"/>
      <c r="R71" s="356"/>
      <c r="S71" s="357"/>
      <c r="T71" s="73"/>
      <c r="U71" s="73"/>
      <c r="V71" s="73"/>
      <c r="W71" s="73"/>
      <c r="X71" s="69"/>
    </row>
    <row r="72" spans="2:24" s="73" customFormat="1" ht="24.6" customHeight="1" thickBot="1" x14ac:dyDescent="0.3">
      <c r="B72" s="312" t="s">
        <v>227</v>
      </c>
      <c r="C72" s="312"/>
      <c r="D72" s="313"/>
      <c r="E72" s="314"/>
      <c r="F72" s="313"/>
      <c r="G72" s="315"/>
      <c r="H72" s="316"/>
      <c r="I72" s="317">
        <f>I69+I70</f>
        <v>124533</v>
      </c>
      <c r="J72" s="317">
        <f>J69+J70</f>
        <v>0</v>
      </c>
      <c r="K72" s="318">
        <f>K69+K70</f>
        <v>124533</v>
      </c>
      <c r="L72" s="317">
        <f t="shared" ref="L72:O72" si="30">L69+L70</f>
        <v>0</v>
      </c>
      <c r="M72" s="317">
        <f t="shared" si="30"/>
        <v>0</v>
      </c>
      <c r="N72" s="317">
        <f t="shared" si="30"/>
        <v>0</v>
      </c>
      <c r="O72" s="317">
        <f t="shared" si="30"/>
        <v>0</v>
      </c>
      <c r="P72" s="318">
        <f>P69+P70</f>
        <v>0</v>
      </c>
      <c r="U72" s="121"/>
      <c r="V72" s="121"/>
      <c r="X72" s="69"/>
    </row>
    <row r="73" spans="2:24" s="121" customFormat="1" ht="18" customHeight="1" thickBot="1" x14ac:dyDescent="0.3">
      <c r="B73" s="277"/>
      <c r="C73" s="305"/>
      <c r="D73" s="358"/>
      <c r="E73" s="358"/>
      <c r="F73" s="358"/>
      <c r="G73" s="359"/>
      <c r="H73" s="359" t="s">
        <v>228</v>
      </c>
      <c r="I73" s="360"/>
      <c r="J73" s="360"/>
      <c r="K73" s="361">
        <f>IF(E8=0,0,K72/$E$8)</f>
        <v>6918.5</v>
      </c>
      <c r="L73" s="324"/>
      <c r="M73" s="324"/>
      <c r="N73" s="324"/>
      <c r="O73" s="325"/>
      <c r="P73" s="325"/>
      <c r="Q73" s="125"/>
      <c r="R73" s="250"/>
      <c r="S73" s="73"/>
    </row>
    <row r="74" spans="2:24" s="73" customFormat="1" ht="14.4" thickBot="1" x14ac:dyDescent="0.3">
      <c r="C74" s="329"/>
      <c r="D74" s="329"/>
      <c r="E74" s="329"/>
      <c r="F74" s="329"/>
      <c r="G74" s="329"/>
      <c r="H74" s="329"/>
      <c r="I74" s="362"/>
      <c r="J74" s="362"/>
      <c r="K74" s="362"/>
      <c r="L74" s="362"/>
      <c r="M74" s="362"/>
      <c r="N74" s="362"/>
      <c r="O74" s="362"/>
      <c r="P74" s="362"/>
      <c r="Q74" s="70"/>
      <c r="R74" s="69"/>
    </row>
    <row r="75" spans="2:24" s="73" customFormat="1" ht="24.6" customHeight="1" thickBot="1" x14ac:dyDescent="0.3">
      <c r="B75" s="312" t="s">
        <v>229</v>
      </c>
      <c r="C75" s="312"/>
      <c r="D75" s="313"/>
      <c r="E75" s="314"/>
      <c r="F75" s="313"/>
      <c r="G75" s="315"/>
      <c r="H75" s="316"/>
      <c r="I75" s="317">
        <f t="shared" ref="I75:P75" si="31">I72-I62</f>
        <v>-5872</v>
      </c>
      <c r="J75" s="317">
        <f t="shared" si="31"/>
        <v>0</v>
      </c>
      <c r="K75" s="318">
        <f t="shared" si="31"/>
        <v>-5872</v>
      </c>
      <c r="L75" s="317">
        <f t="shared" si="31"/>
        <v>0</v>
      </c>
      <c r="M75" s="317">
        <f t="shared" si="31"/>
        <v>0</v>
      </c>
      <c r="N75" s="317">
        <f t="shared" si="31"/>
        <v>0</v>
      </c>
      <c r="O75" s="317">
        <f t="shared" si="31"/>
        <v>0</v>
      </c>
      <c r="P75" s="318">
        <f t="shared" si="31"/>
        <v>0</v>
      </c>
      <c r="Q75" s="152">
        <f>IF($K$72=0,0,K75/$K$72)</f>
        <v>-4.7152160471521605E-2</v>
      </c>
      <c r="R75" s="153" t="s">
        <v>139</v>
      </c>
      <c r="U75" s="121"/>
      <c r="V75" s="121"/>
      <c r="X75" s="69"/>
    </row>
    <row r="76" spans="2:24" s="73" customFormat="1" ht="14.4" hidden="1" customHeight="1" thickBot="1" x14ac:dyDescent="0.3">
      <c r="B76" s="312" t="s">
        <v>230</v>
      </c>
      <c r="C76" s="312"/>
      <c r="D76" s="313"/>
      <c r="E76" s="314"/>
      <c r="F76" s="313"/>
      <c r="G76" s="315"/>
      <c r="H76" s="316"/>
      <c r="I76" s="317">
        <f>'Budget détaillé heures comp'!I75</f>
        <v>48882.22</v>
      </c>
      <c r="J76" s="317">
        <f>'Budget détaillé heures comp'!J75</f>
        <v>0</v>
      </c>
      <c r="K76" s="318">
        <f>'Budget détaillé heures comp'!K75</f>
        <v>48882.22</v>
      </c>
      <c r="L76" s="317"/>
      <c r="M76" s="317"/>
      <c r="N76" s="317"/>
      <c r="O76" s="317"/>
      <c r="P76" s="318"/>
      <c r="Q76" s="152">
        <f>IF($K$72=0,0,K76/$K$72)</f>
        <v>0.39252423052524232</v>
      </c>
      <c r="R76" s="153" t="s">
        <v>139</v>
      </c>
      <c r="U76" s="121"/>
      <c r="V76" s="121"/>
      <c r="X76" s="69"/>
    </row>
    <row r="77" spans="2:24" ht="13.8" x14ac:dyDescent="0.25">
      <c r="B77" s="73"/>
      <c r="C77" s="73"/>
      <c r="D77" s="73"/>
      <c r="E77" s="73"/>
      <c r="F77" s="73"/>
      <c r="G77" s="73"/>
      <c r="H77" s="110"/>
      <c r="I77" s="111"/>
      <c r="J77" s="112"/>
      <c r="K77" s="110"/>
      <c r="L77" s="110"/>
      <c r="M77" s="110"/>
      <c r="N77" s="110"/>
      <c r="O77" s="110"/>
      <c r="P77" s="110"/>
      <c r="Q77" s="69"/>
      <c r="R77" s="69"/>
      <c r="S77" s="73"/>
      <c r="T77" s="73"/>
      <c r="U77" s="73"/>
      <c r="V77" s="73"/>
      <c r="W77" s="73"/>
      <c r="X77" s="73"/>
    </row>
  </sheetData>
  <sheetProtection algorithmName="SHA-512" hashValue="VZ96SJ6OryXiRnqwIx2cXKwYi9SbfUjbvcly4J9A6bw2SGhDB7J+SKC+0MC7v+LcvVVewTDNe2mQ1vFndbOKWg==" saltValue="AdGPIZb+jYJnhq+E8NwSfw==" spinCount="100000" sheet="1" autoFilter="0"/>
  <mergeCells count="23">
    <mergeCell ref="B27:F27"/>
    <mergeCell ref="C29:F29"/>
    <mergeCell ref="C30:F30"/>
    <mergeCell ref="B32:F32"/>
    <mergeCell ref="B66:K66"/>
    <mergeCell ref="C26:F26"/>
    <mergeCell ref="H7:K7"/>
    <mergeCell ref="B11:K11"/>
    <mergeCell ref="C13:F13"/>
    <mergeCell ref="C16:F16"/>
    <mergeCell ref="C17:F17"/>
    <mergeCell ref="C18:F18"/>
    <mergeCell ref="C19:F19"/>
    <mergeCell ref="B20:F20"/>
    <mergeCell ref="C23:F23"/>
    <mergeCell ref="C24:F24"/>
    <mergeCell ref="C25:F25"/>
    <mergeCell ref="B2:K2"/>
    <mergeCell ref="L2:P2"/>
    <mergeCell ref="D5:E5"/>
    <mergeCell ref="H5:K5"/>
    <mergeCell ref="D6:E6"/>
    <mergeCell ref="H6:K6"/>
  </mergeCells>
  <printOptions horizontalCentered="1" verticalCentered="1"/>
  <pageMargins left="0.25" right="0.25" top="0.75" bottom="0.75" header="0.3" footer="0.3"/>
  <pageSetup paperSize="8" scale="56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R32"/>
  <sheetViews>
    <sheetView zoomScale="85" zoomScaleNormal="85" workbookViewId="0">
      <selection activeCell="C18" sqref="C18"/>
    </sheetView>
  </sheetViews>
  <sheetFormatPr baseColWidth="10" defaultColWidth="11.5546875" defaultRowHeight="13.2" x14ac:dyDescent="0.25"/>
  <cols>
    <col min="1" max="1" width="2.77734375" style="1" customWidth="1"/>
    <col min="2" max="2" width="11.5546875" style="1"/>
    <col min="3" max="3" width="34.77734375" style="1" bestFit="1" customWidth="1"/>
    <col min="4" max="4" width="9.21875" style="1" customWidth="1"/>
    <col min="5" max="5" width="15.109375" style="1" hidden="1" customWidth="1"/>
    <col min="6" max="6" width="5.5546875" style="1" hidden="1" customWidth="1"/>
    <col min="7" max="7" width="11.5546875" style="1"/>
    <col min="8" max="8" width="59.21875" style="1" bestFit="1" customWidth="1"/>
    <col min="9" max="16384" width="11.5546875" style="1"/>
  </cols>
  <sheetData>
    <row r="3" spans="2:8" x14ac:dyDescent="0.25">
      <c r="B3" s="577" t="s">
        <v>231</v>
      </c>
      <c r="C3" s="578"/>
      <c r="D3" s="578"/>
      <c r="E3" s="4"/>
      <c r="F3" s="4"/>
      <c r="H3" s="8" t="s">
        <v>232</v>
      </c>
    </row>
    <row r="4" spans="2:8" x14ac:dyDescent="0.25">
      <c r="C4" s="6"/>
      <c r="D4" s="6"/>
      <c r="E4" s="6"/>
      <c r="F4" s="7"/>
    </row>
    <row r="5" spans="2:8" ht="14.4" x14ac:dyDescent="0.25">
      <c r="E5" s="1" t="s">
        <v>233</v>
      </c>
      <c r="F5" s="462" t="s">
        <v>234</v>
      </c>
    </row>
    <row r="6" spans="2:8" ht="14.4" x14ac:dyDescent="0.25">
      <c r="B6" s="576" t="s">
        <v>235</v>
      </c>
      <c r="C6" s="4" t="s">
        <v>236</v>
      </c>
      <c r="D6" s="3" t="s">
        <v>35</v>
      </c>
      <c r="E6" s="3">
        <v>1</v>
      </c>
      <c r="F6" s="3">
        <v>1.5</v>
      </c>
      <c r="H6" s="5" t="s">
        <v>237</v>
      </c>
    </row>
    <row r="7" spans="2:8" ht="14.4" x14ac:dyDescent="0.25">
      <c r="B7" s="576"/>
      <c r="C7" s="4" t="s">
        <v>238</v>
      </c>
      <c r="D7" s="463" t="s">
        <v>37</v>
      </c>
      <c r="E7" s="3">
        <v>1</v>
      </c>
      <c r="F7" s="3">
        <v>1</v>
      </c>
      <c r="H7" s="5" t="s">
        <v>239</v>
      </c>
    </row>
    <row r="8" spans="2:8" ht="14.4" x14ac:dyDescent="0.25">
      <c r="B8" s="576"/>
      <c r="C8" s="5" t="s">
        <v>240</v>
      </c>
      <c r="D8" s="463" t="s">
        <v>241</v>
      </c>
      <c r="E8" s="3">
        <v>1</v>
      </c>
      <c r="F8" s="3">
        <v>0.66</v>
      </c>
      <c r="H8" s="5" t="s">
        <v>242</v>
      </c>
    </row>
    <row r="9" spans="2:8" ht="14.4" x14ac:dyDescent="0.25">
      <c r="B9" s="576" t="s">
        <v>243</v>
      </c>
      <c r="C9" s="4" t="s">
        <v>244</v>
      </c>
      <c r="D9" s="463" t="s">
        <v>245</v>
      </c>
      <c r="E9" s="463">
        <v>0</v>
      </c>
      <c r="F9" s="3">
        <v>0</v>
      </c>
      <c r="H9" s="5" t="s">
        <v>246</v>
      </c>
    </row>
    <row r="10" spans="2:8" ht="14.4" x14ac:dyDescent="0.25">
      <c r="B10" s="576"/>
      <c r="C10" s="5" t="s">
        <v>247</v>
      </c>
      <c r="D10" s="463" t="s">
        <v>248</v>
      </c>
      <c r="E10" s="3">
        <v>1</v>
      </c>
      <c r="F10" s="3">
        <v>1</v>
      </c>
      <c r="H10" s="5" t="s">
        <v>249</v>
      </c>
    </row>
    <row r="11" spans="2:8" ht="14.4" x14ac:dyDescent="0.25">
      <c r="B11" s="576"/>
      <c r="C11" s="5" t="s">
        <v>250</v>
      </c>
      <c r="D11" s="463" t="s">
        <v>251</v>
      </c>
      <c r="E11" s="3">
        <v>1</v>
      </c>
      <c r="F11" s="3">
        <v>1.5</v>
      </c>
      <c r="H11" s="5" t="s">
        <v>252</v>
      </c>
    </row>
    <row r="12" spans="2:8" ht="14.4" x14ac:dyDescent="0.25">
      <c r="B12" s="576"/>
      <c r="C12" s="4" t="s">
        <v>253</v>
      </c>
      <c r="D12" s="463" t="s">
        <v>66</v>
      </c>
      <c r="E12" s="3">
        <v>0</v>
      </c>
      <c r="F12" s="3">
        <v>0</v>
      </c>
      <c r="H12" s="5" t="s">
        <v>254</v>
      </c>
    </row>
    <row r="13" spans="2:8" ht="14.4" x14ac:dyDescent="0.25">
      <c r="B13" s="576"/>
      <c r="C13" s="5" t="s">
        <v>255</v>
      </c>
      <c r="D13" s="463" t="s">
        <v>256</v>
      </c>
      <c r="E13" s="3">
        <v>1</v>
      </c>
      <c r="F13" s="3">
        <v>1</v>
      </c>
      <c r="H13" s="5" t="s">
        <v>257</v>
      </c>
    </row>
    <row r="14" spans="2:8" ht="14.4" x14ac:dyDescent="0.25">
      <c r="B14" s="576"/>
      <c r="C14" s="5" t="s">
        <v>258</v>
      </c>
      <c r="D14" s="463" t="s">
        <v>259</v>
      </c>
      <c r="E14" s="3">
        <v>1</v>
      </c>
      <c r="F14" s="3">
        <v>1.5</v>
      </c>
      <c r="H14" s="5" t="s">
        <v>260</v>
      </c>
    </row>
    <row r="15" spans="2:8" ht="14.4" x14ac:dyDescent="0.25">
      <c r="B15" s="576"/>
      <c r="C15" s="4" t="s">
        <v>261</v>
      </c>
      <c r="D15" s="463" t="s">
        <v>50</v>
      </c>
      <c r="E15" s="3">
        <v>0</v>
      </c>
      <c r="F15" s="3">
        <v>0</v>
      </c>
      <c r="H15" s="5" t="s">
        <v>262</v>
      </c>
    </row>
    <row r="16" spans="2:8" ht="14.4" x14ac:dyDescent="0.25">
      <c r="B16" s="576"/>
      <c r="C16" s="5" t="s">
        <v>263</v>
      </c>
      <c r="D16" s="463" t="s">
        <v>264</v>
      </c>
      <c r="E16" s="3">
        <v>1</v>
      </c>
      <c r="F16" s="3">
        <v>1</v>
      </c>
      <c r="H16" s="5" t="s">
        <v>79</v>
      </c>
    </row>
    <row r="17" spans="2:18" ht="14.4" x14ac:dyDescent="0.25">
      <c r="B17" s="576"/>
      <c r="C17" s="5" t="s">
        <v>265</v>
      </c>
      <c r="D17" s="463" t="s">
        <v>266</v>
      </c>
      <c r="E17" s="3">
        <v>1</v>
      </c>
      <c r="F17" s="3">
        <v>1.5</v>
      </c>
      <c r="H17" s="5" t="s">
        <v>267</v>
      </c>
    </row>
    <row r="18" spans="2:18" ht="14.4" x14ac:dyDescent="0.25">
      <c r="B18" s="576"/>
      <c r="C18" s="4" t="s">
        <v>268</v>
      </c>
      <c r="D18" s="463" t="s">
        <v>269</v>
      </c>
      <c r="E18" s="3">
        <v>0</v>
      </c>
      <c r="F18" s="3">
        <v>0</v>
      </c>
      <c r="H18" s="2"/>
    </row>
    <row r="19" spans="2:18" ht="14.4" x14ac:dyDescent="0.25">
      <c r="B19" s="576"/>
      <c r="C19" s="5" t="s">
        <v>270</v>
      </c>
      <c r="D19" s="463" t="s">
        <v>271</v>
      </c>
      <c r="E19" s="3">
        <v>1</v>
      </c>
      <c r="F19" s="3">
        <v>1</v>
      </c>
      <c r="H19" s="2"/>
    </row>
    <row r="20" spans="2:18" ht="14.4" x14ac:dyDescent="0.25">
      <c r="B20" s="576"/>
      <c r="C20" s="5" t="s">
        <v>272</v>
      </c>
      <c r="D20" s="463" t="s">
        <v>273</v>
      </c>
      <c r="E20" s="3">
        <v>1</v>
      </c>
      <c r="F20" s="3">
        <v>1.5</v>
      </c>
    </row>
    <row r="21" spans="2:18" ht="14.4" x14ac:dyDescent="0.25">
      <c r="B21" s="576"/>
      <c r="C21" s="4" t="s">
        <v>274</v>
      </c>
      <c r="D21" s="463" t="s">
        <v>275</v>
      </c>
      <c r="E21" s="3">
        <v>1</v>
      </c>
      <c r="F21" s="3">
        <v>1</v>
      </c>
    </row>
    <row r="22" spans="2:18" ht="14.4" x14ac:dyDescent="0.25">
      <c r="B22" s="576"/>
      <c r="C22" s="4" t="s">
        <v>276</v>
      </c>
      <c r="D22" s="463" t="s">
        <v>64</v>
      </c>
      <c r="E22" s="3">
        <v>0</v>
      </c>
      <c r="F22" s="3">
        <v>0</v>
      </c>
    </row>
    <row r="23" spans="2:18" ht="14.4" x14ac:dyDescent="0.25">
      <c r="B23" s="576"/>
      <c r="C23" s="5" t="s">
        <v>277</v>
      </c>
      <c r="D23" s="463" t="s">
        <v>278</v>
      </c>
      <c r="E23" s="463">
        <v>1</v>
      </c>
      <c r="F23" s="3">
        <v>1</v>
      </c>
    </row>
    <row r="24" spans="2:18" ht="14.4" x14ac:dyDescent="0.25">
      <c r="B24" s="576"/>
      <c r="C24" s="5" t="s">
        <v>279</v>
      </c>
      <c r="D24" s="5" t="s">
        <v>280</v>
      </c>
      <c r="E24" s="4">
        <v>1</v>
      </c>
      <c r="F24" s="3">
        <v>1.5</v>
      </c>
    </row>
    <row r="25" spans="2:18" ht="14.4" x14ac:dyDescent="0.25">
      <c r="B25" s="576"/>
      <c r="C25" s="4" t="s">
        <v>281</v>
      </c>
      <c r="D25" s="5" t="s">
        <v>282</v>
      </c>
      <c r="E25" s="5">
        <v>0</v>
      </c>
      <c r="F25" s="3">
        <v>0</v>
      </c>
    </row>
    <row r="26" spans="2:18" x14ac:dyDescent="0.25">
      <c r="B26" s="576"/>
      <c r="C26" s="5" t="s">
        <v>283</v>
      </c>
      <c r="D26" s="5" t="s">
        <v>284</v>
      </c>
      <c r="E26" s="5">
        <v>1</v>
      </c>
      <c r="F26" s="4">
        <v>1</v>
      </c>
    </row>
    <row r="27" spans="2:18" x14ac:dyDescent="0.25">
      <c r="B27" s="576"/>
      <c r="C27" s="5" t="s">
        <v>285</v>
      </c>
      <c r="D27" s="5" t="s">
        <v>286</v>
      </c>
      <c r="E27" s="5">
        <v>1</v>
      </c>
      <c r="F27" s="4">
        <v>1.5</v>
      </c>
    </row>
    <row r="31" spans="2:18" ht="13.8" x14ac:dyDescent="0.25">
      <c r="R31" s="121"/>
    </row>
    <row r="32" spans="2:18" ht="13.8" x14ac:dyDescent="0.25">
      <c r="R32" s="121"/>
    </row>
  </sheetData>
  <sheetProtection algorithmName="SHA-512" hashValue="WPkP5BhIpZL/Ymu+guFovuYFHNj9UGRsZlF3fsh4aT4W4pi+0YWMT2VMH028DGK67BGomZ0FM9h21S+Fzj4z0g==" saltValue="tjaCvWOj3r+3IuPL5o2Few==" spinCount="100000" sheet="1" objects="1" scenarios="1"/>
  <sortState ref="H6:H16">
    <sortCondition ref="H6"/>
  </sortState>
  <mergeCells count="3">
    <mergeCell ref="B6:B8"/>
    <mergeCell ref="B9:B27"/>
    <mergeCell ref="B3:D3"/>
  </mergeCells>
  <pageMargins left="0.7" right="0.7" top="0.75" bottom="0.75" header="0.3" footer="0.3"/>
  <pageSetup paperSize="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X76"/>
  <sheetViews>
    <sheetView showGridLines="0" showZeros="0" zoomScale="85" zoomScaleNormal="85" zoomScaleSheetLayoutView="70" workbookViewId="0">
      <pane ySplit="9" topLeftCell="A19" activePane="bottomLeft" state="frozen"/>
      <selection pane="bottomLeft" activeCell="X38" sqref="X37:X38"/>
    </sheetView>
  </sheetViews>
  <sheetFormatPr baseColWidth="10" defaultColWidth="11.44140625" defaultRowHeight="13.2" outlineLevelRow="2" outlineLevelCol="1" x14ac:dyDescent="0.25"/>
  <cols>
    <col min="1" max="1" width="1.21875" customWidth="1"/>
    <col min="2" max="2" width="5.77734375" customWidth="1"/>
    <col min="3" max="3" width="14.77734375" customWidth="1"/>
    <col min="4" max="4" width="16.44140625" customWidth="1"/>
    <col min="5" max="5" width="14.77734375" customWidth="1"/>
    <col min="6" max="6" width="4.77734375" customWidth="1"/>
    <col min="7" max="7" width="10.77734375" customWidth="1"/>
    <col min="8" max="11" width="11" customWidth="1"/>
    <col min="12" max="16" width="11" hidden="1" customWidth="1" outlineLevel="1"/>
    <col min="17" max="17" width="9.21875" customWidth="1" collapsed="1"/>
    <col min="18" max="18" width="6.88671875" customWidth="1"/>
    <col min="19" max="19" width="6.109375" customWidth="1"/>
    <col min="20" max="20" width="11.21875" bestFit="1" customWidth="1"/>
    <col min="21" max="21" width="24.5546875" bestFit="1" customWidth="1"/>
  </cols>
  <sheetData>
    <row r="1" spans="1:22" ht="7.2" customHeight="1" thickBot="1" x14ac:dyDescent="0.3">
      <c r="A1" s="73"/>
      <c r="B1" s="73"/>
      <c r="C1" s="73"/>
      <c r="D1" s="73"/>
      <c r="E1" s="73"/>
      <c r="F1" s="73"/>
      <c r="G1" s="73"/>
      <c r="H1" s="110"/>
      <c r="I1" s="111"/>
      <c r="J1" s="112"/>
      <c r="K1" s="110"/>
      <c r="L1" s="110"/>
      <c r="M1" s="110"/>
      <c r="N1" s="110"/>
      <c r="O1" s="110"/>
      <c r="P1" s="110"/>
      <c r="Q1" s="69"/>
      <c r="R1" s="69"/>
      <c r="S1" s="73"/>
      <c r="T1" s="73"/>
      <c r="U1" s="73"/>
      <c r="V1" s="73"/>
    </row>
    <row r="2" spans="1:22" ht="28.2" customHeight="1" thickBot="1" x14ac:dyDescent="0.3">
      <c r="A2" s="73"/>
      <c r="B2" s="521" t="s">
        <v>123</v>
      </c>
      <c r="C2" s="522"/>
      <c r="D2" s="522"/>
      <c r="E2" s="522"/>
      <c r="F2" s="522"/>
      <c r="G2" s="522"/>
      <c r="H2" s="522"/>
      <c r="I2" s="522"/>
      <c r="J2" s="522"/>
      <c r="K2" s="523"/>
      <c r="L2" s="521" t="s">
        <v>124</v>
      </c>
      <c r="M2" s="522"/>
      <c r="N2" s="522"/>
      <c r="O2" s="522"/>
      <c r="P2" s="523"/>
      <c r="Q2" s="69"/>
      <c r="R2" s="69"/>
      <c r="S2" s="73"/>
      <c r="T2" s="73"/>
      <c r="U2" s="73"/>
      <c r="V2" s="73"/>
    </row>
    <row r="3" spans="1:22" ht="6.75" customHeight="1" x14ac:dyDescent="0.25">
      <c r="A3" s="73"/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69"/>
      <c r="R3" s="69"/>
      <c r="S3" s="73"/>
      <c r="T3" s="73"/>
      <c r="U3" s="73"/>
      <c r="V3" s="73"/>
    </row>
    <row r="4" spans="1:22" ht="5.25" customHeight="1" x14ac:dyDescent="0.25">
      <c r="A4" s="73"/>
      <c r="B4" s="73"/>
      <c r="C4" s="73"/>
      <c r="D4" s="73"/>
      <c r="E4" s="73"/>
      <c r="F4" s="110"/>
      <c r="G4" s="110"/>
      <c r="H4" s="110"/>
      <c r="I4" s="110"/>
      <c r="J4" s="112"/>
      <c r="K4" s="110"/>
      <c r="L4" s="110"/>
      <c r="M4" s="110"/>
      <c r="N4" s="110"/>
      <c r="O4" s="110"/>
      <c r="P4" s="110"/>
      <c r="Q4" s="69"/>
      <c r="R4" s="69"/>
      <c r="S4" s="73"/>
      <c r="T4" s="73"/>
      <c r="U4" s="73"/>
      <c r="V4" s="73"/>
    </row>
    <row r="5" spans="1:22" ht="22.2" customHeight="1" x14ac:dyDescent="0.25">
      <c r="A5" s="73"/>
      <c r="B5" s="73"/>
      <c r="C5" s="114" t="s">
        <v>69</v>
      </c>
      <c r="D5" s="564" t="str">
        <f>'Recettes et simulat'!D4</f>
        <v>Université Lumière Lyon 2</v>
      </c>
      <c r="E5" s="565"/>
      <c r="F5" s="73"/>
      <c r="G5" s="114" t="s">
        <v>71</v>
      </c>
      <c r="H5" s="564" t="str">
        <f>'Recettes et simulat'!H4</f>
        <v>Licence Professionnelle</v>
      </c>
      <c r="I5" s="566"/>
      <c r="J5" s="566"/>
      <c r="K5" s="565"/>
      <c r="L5" s="110"/>
      <c r="M5" s="110"/>
      <c r="N5" s="110"/>
      <c r="O5" s="110"/>
      <c r="P5" s="110"/>
      <c r="Q5" s="69"/>
      <c r="R5" s="69"/>
      <c r="S5" s="73"/>
      <c r="T5" s="73"/>
      <c r="U5" s="77" t="s">
        <v>80</v>
      </c>
      <c r="V5" s="73"/>
    </row>
    <row r="6" spans="1:22" ht="22.2" customHeight="1" x14ac:dyDescent="0.25">
      <c r="A6" s="73"/>
      <c r="B6" s="73"/>
      <c r="C6" s="113" t="s">
        <v>73</v>
      </c>
      <c r="D6" s="564" t="str">
        <f>'Recettes et simulat'!D5</f>
        <v>En cours</v>
      </c>
      <c r="E6" s="565"/>
      <c r="F6" s="73"/>
      <c r="G6" s="114" t="s">
        <v>125</v>
      </c>
      <c r="H6" s="564" t="str">
        <f>'Recettes et simulat'!H5</f>
        <v>Mention : Management des transports et de la distribution Parcours : Management des Services de Transport de Voyageurs (MSTV)</v>
      </c>
      <c r="I6" s="566"/>
      <c r="J6" s="566"/>
      <c r="K6" s="565"/>
      <c r="L6" s="110"/>
      <c r="M6" s="110"/>
      <c r="N6" s="110"/>
      <c r="O6" s="110"/>
      <c r="P6" s="110"/>
      <c r="Q6" s="69"/>
      <c r="R6" s="69"/>
      <c r="S6" s="73"/>
      <c r="T6" s="73"/>
      <c r="U6" s="73"/>
      <c r="V6" s="73"/>
    </row>
    <row r="7" spans="1:22" ht="22.2" customHeight="1" x14ac:dyDescent="0.25">
      <c r="A7" s="73"/>
      <c r="B7" s="73"/>
      <c r="C7" s="115" t="s">
        <v>77</v>
      </c>
      <c r="D7" s="116"/>
      <c r="E7" s="117">
        <f>'Recettes et simulat'!E6</f>
        <v>18</v>
      </c>
      <c r="F7" s="73"/>
      <c r="G7" s="114" t="s">
        <v>78</v>
      </c>
      <c r="H7" s="564" t="str">
        <f>'Recettes et simulat'!H6</f>
        <v>SEG - Sciences Economiques et de Gestion</v>
      </c>
      <c r="I7" s="566"/>
      <c r="J7" s="566"/>
      <c r="K7" s="565"/>
      <c r="L7" s="110"/>
      <c r="M7" s="110"/>
      <c r="N7" s="110"/>
      <c r="O7" s="110"/>
      <c r="P7" s="110"/>
      <c r="Q7" s="69"/>
      <c r="R7" s="69"/>
      <c r="S7" s="73"/>
      <c r="T7" s="73"/>
      <c r="U7" s="73"/>
      <c r="V7" s="73"/>
    </row>
    <row r="8" spans="1:22" ht="22.2" customHeight="1" x14ac:dyDescent="0.25">
      <c r="A8" s="73"/>
      <c r="B8" s="73"/>
      <c r="C8" s="115" t="s">
        <v>81</v>
      </c>
      <c r="D8" s="116"/>
      <c r="E8" s="117">
        <f>'Recettes et simulat'!E7</f>
        <v>18</v>
      </c>
      <c r="F8" s="73"/>
      <c r="G8" s="78" t="s">
        <v>82</v>
      </c>
      <c r="H8" s="73"/>
      <c r="I8" s="73"/>
      <c r="J8" s="118">
        <f>'Recettes et simulat'!J7</f>
        <v>2021</v>
      </c>
      <c r="K8" s="118">
        <f>'Recettes et simulat'!K7</f>
        <v>2022</v>
      </c>
      <c r="L8" s="73"/>
      <c r="M8" s="73"/>
      <c r="N8" s="73"/>
      <c r="O8" s="73"/>
      <c r="P8" s="73"/>
      <c r="Q8" s="69"/>
      <c r="R8" s="69"/>
      <c r="S8" s="73"/>
      <c r="T8" s="73"/>
      <c r="U8" s="73"/>
      <c r="V8" s="73"/>
    </row>
    <row r="9" spans="1:22" ht="22.2" customHeight="1" x14ac:dyDescent="0.25">
      <c r="A9" s="73"/>
      <c r="B9" s="73"/>
      <c r="C9" s="73"/>
      <c r="D9" s="73"/>
      <c r="E9" s="73"/>
      <c r="F9" s="73"/>
      <c r="G9" s="119"/>
      <c r="H9" s="73"/>
      <c r="I9" s="73"/>
      <c r="J9" s="73"/>
      <c r="K9" s="73"/>
      <c r="L9" s="73"/>
      <c r="M9" s="73"/>
      <c r="N9" s="73"/>
      <c r="O9" s="73"/>
      <c r="P9" s="73"/>
      <c r="Q9" s="69"/>
      <c r="R9" s="69"/>
      <c r="S9" s="73"/>
      <c r="T9" s="73"/>
      <c r="U9" s="120"/>
      <c r="V9" s="120"/>
    </row>
    <row r="10" spans="1:22" s="121" customFormat="1" ht="16.95" customHeight="1" thickBot="1" x14ac:dyDescent="0.3">
      <c r="C10" s="122"/>
      <c r="D10" s="122"/>
      <c r="E10" s="122"/>
      <c r="F10" s="122"/>
      <c r="G10" s="123"/>
      <c r="H10" s="123"/>
      <c r="I10" s="124"/>
      <c r="Q10" s="69"/>
      <c r="R10" s="125"/>
      <c r="S10" s="73"/>
      <c r="T10" s="120"/>
      <c r="U10" s="69"/>
      <c r="V10" s="73"/>
    </row>
    <row r="11" spans="1:22" ht="24.6" customHeight="1" thickBot="1" x14ac:dyDescent="0.3">
      <c r="A11" s="73"/>
      <c r="B11" s="521" t="s">
        <v>126</v>
      </c>
      <c r="C11" s="522"/>
      <c r="D11" s="522"/>
      <c r="E11" s="522"/>
      <c r="F11" s="522"/>
      <c r="G11" s="522"/>
      <c r="H11" s="522"/>
      <c r="I11" s="522"/>
      <c r="J11" s="522"/>
      <c r="K11" s="523"/>
      <c r="L11" s="126"/>
      <c r="M11" s="127"/>
      <c r="N11" s="127"/>
      <c r="O11" s="127"/>
      <c r="P11" s="128"/>
      <c r="Q11" s="69"/>
      <c r="R11" s="69"/>
      <c r="S11" s="73"/>
      <c r="T11" s="69"/>
      <c r="U11" s="69"/>
      <c r="V11" s="69"/>
    </row>
    <row r="12" spans="1:22" s="69" customFormat="1" ht="12.6" customHeight="1" thickBot="1" x14ac:dyDescent="0.3">
      <c r="B12" s="129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1"/>
      <c r="V12" s="73"/>
    </row>
    <row r="13" spans="1:22" s="73" customFormat="1" ht="69.599999999999994" thickBot="1" x14ac:dyDescent="0.3">
      <c r="B13" s="132" t="s">
        <v>127</v>
      </c>
      <c r="C13" s="570" t="s">
        <v>128</v>
      </c>
      <c r="D13" s="571"/>
      <c r="E13" s="571"/>
      <c r="F13" s="572"/>
      <c r="G13" s="133" t="s">
        <v>129</v>
      </c>
      <c r="H13" s="134" t="s">
        <v>130</v>
      </c>
      <c r="I13" s="134" t="s">
        <v>131</v>
      </c>
      <c r="J13" s="135" t="s">
        <v>132</v>
      </c>
      <c r="K13" s="136" t="s">
        <v>133</v>
      </c>
      <c r="L13" s="137" t="s">
        <v>134</v>
      </c>
      <c r="M13" s="138" t="s">
        <v>135</v>
      </c>
      <c r="N13" s="138" t="s">
        <v>136</v>
      </c>
      <c r="O13" s="139" t="s">
        <v>137</v>
      </c>
      <c r="P13" s="140" t="s">
        <v>0</v>
      </c>
      <c r="Q13" s="141"/>
      <c r="R13" s="142"/>
      <c r="T13" s="69"/>
      <c r="U13" s="69"/>
      <c r="V13" s="121"/>
    </row>
    <row r="14" spans="1:22" s="121" customFormat="1" ht="21.6" customHeight="1" thickBot="1" x14ac:dyDescent="0.3">
      <c r="B14" s="143" t="s">
        <v>138</v>
      </c>
      <c r="C14" s="144"/>
      <c r="D14" s="145"/>
      <c r="E14" s="145"/>
      <c r="F14" s="145"/>
      <c r="G14" s="146">
        <f>G20+G27+G32</f>
        <v>720.5</v>
      </c>
      <c r="H14" s="147">
        <f>IF(G20+G27+G32=0,0,(I20+I27+I32)/(G20+G27+G32))</f>
        <v>44.789424011103399</v>
      </c>
      <c r="I14" s="148">
        <f>I20+I32+I27</f>
        <v>32270.78</v>
      </c>
      <c r="J14" s="149">
        <f>J20+J32+J27</f>
        <v>0</v>
      </c>
      <c r="K14" s="150">
        <f>K20+K32+K27</f>
        <v>32270.78</v>
      </c>
      <c r="L14" s="151">
        <f>L20+L32+L27</f>
        <v>0</v>
      </c>
      <c r="M14" s="147">
        <f>M20+M32+M27</f>
        <v>0</v>
      </c>
      <c r="N14" s="148">
        <f t="shared" ref="N14:O14" si="0">N20+N32+N27</f>
        <v>0</v>
      </c>
      <c r="O14" s="147">
        <f t="shared" si="0"/>
        <v>0</v>
      </c>
      <c r="P14" s="150">
        <f>P20+P32+P27</f>
        <v>0</v>
      </c>
      <c r="Q14" s="152">
        <f>IF($K$72=0,0,K14/$K$72)</f>
        <v>0.25913436599134365</v>
      </c>
      <c r="R14" s="153" t="s">
        <v>139</v>
      </c>
      <c r="S14" s="73"/>
      <c r="T14" s="69"/>
      <c r="U14" s="69"/>
      <c r="V14" s="73"/>
    </row>
    <row r="15" spans="1:22" s="73" customFormat="1" ht="16.95" customHeight="1" outlineLevel="1" x14ac:dyDescent="0.25">
      <c r="B15" s="154" t="s">
        <v>140</v>
      </c>
      <c r="C15" s="155" t="s">
        <v>141</v>
      </c>
      <c r="D15" s="156"/>
      <c r="E15" s="156"/>
      <c r="F15" s="157"/>
      <c r="G15" s="158"/>
      <c r="H15" s="159"/>
      <c r="I15" s="158"/>
      <c r="J15" s="158"/>
      <c r="K15" s="160"/>
      <c r="L15" s="161"/>
      <c r="M15" s="159"/>
      <c r="N15" s="159"/>
      <c r="O15" s="159"/>
      <c r="P15" s="160"/>
      <c r="Q15" s="162"/>
      <c r="R15" s="163"/>
      <c r="S15" s="163"/>
      <c r="T15" s="163"/>
      <c r="U15" s="88"/>
      <c r="V15" s="121"/>
    </row>
    <row r="16" spans="1:22" s="121" customFormat="1" ht="16.95" customHeight="1" outlineLevel="1" x14ac:dyDescent="0.25">
      <c r="B16" s="164" t="s">
        <v>142</v>
      </c>
      <c r="C16" s="567" t="s">
        <v>23</v>
      </c>
      <c r="D16" s="568"/>
      <c r="E16" s="568"/>
      <c r="F16" s="569"/>
      <c r="G16" s="165">
        <f>'Budget détaillé'!G16</f>
        <v>168.5</v>
      </c>
      <c r="H16" s="166">
        <v>43.48</v>
      </c>
      <c r="I16" s="167">
        <f>H16*G16</f>
        <v>7326.3799999999992</v>
      </c>
      <c r="J16" s="167">
        <f>I16-K16</f>
        <v>0</v>
      </c>
      <c r="K16" s="168">
        <f>IF($E$7=0,0,I16/$E$7*$E$8)</f>
        <v>7326.3799999999992</v>
      </c>
      <c r="L16" s="169"/>
      <c r="M16" s="79"/>
      <c r="N16" s="79"/>
      <c r="O16" s="79"/>
      <c r="P16" s="170">
        <f>SUM(L16:O16)</f>
        <v>0</v>
      </c>
      <c r="Q16" s="171">
        <f>IF($I16=0,0,$G16*$J16/$I16)</f>
        <v>0</v>
      </c>
      <c r="R16" s="171">
        <f>IF($I16=0,0,IF($P16=0,0,$G16*$J16/$I16*L16/$P16))</f>
        <v>0</v>
      </c>
      <c r="S16" s="171">
        <f t="shared" ref="S16:U19" si="1">IF($I16=0,0,IF($P16=0,0,$G16*$J16/$I16*M16/$P16))</f>
        <v>0</v>
      </c>
      <c r="T16" s="171">
        <f t="shared" si="1"/>
        <v>0</v>
      </c>
      <c r="U16" s="171">
        <f>IF($I16=0,0,IF($P16=0,0,$G16*$J16/$I16*O16/$P16))</f>
        <v>0</v>
      </c>
      <c r="V16" s="172">
        <f>G16-Q16</f>
        <v>168.5</v>
      </c>
    </row>
    <row r="17" spans="2:23" s="121" customFormat="1" ht="16.95" customHeight="1" outlineLevel="1" x14ac:dyDescent="0.25">
      <c r="B17" s="164" t="s">
        <v>143</v>
      </c>
      <c r="C17" s="567" t="s">
        <v>24</v>
      </c>
      <c r="D17" s="568"/>
      <c r="E17" s="568"/>
      <c r="F17" s="569"/>
      <c r="G17" s="165">
        <f>'Budget détaillé'!G17</f>
        <v>0</v>
      </c>
      <c r="H17" s="372">
        <f>ROUND(41.41*1.4319,2)</f>
        <v>59.29</v>
      </c>
      <c r="I17" s="173">
        <f>H17*G17</f>
        <v>0</v>
      </c>
      <c r="J17" s="167">
        <f t="shared" ref="J17:J19" si="2">I17-K17</f>
        <v>0</v>
      </c>
      <c r="K17" s="168">
        <f t="shared" ref="K17:K19" si="3">IF($E$7=0,0,I17/$E$7*$E$8)</f>
        <v>0</v>
      </c>
      <c r="L17" s="169"/>
      <c r="M17" s="79"/>
      <c r="N17" s="79"/>
      <c r="O17" s="79"/>
      <c r="P17" s="174">
        <f>SUM(L17:O17)</f>
        <v>0</v>
      </c>
      <c r="Q17" s="171">
        <f>IF($I17=0,0,$G17*$J17/$I17)</f>
        <v>0</v>
      </c>
      <c r="R17" s="171">
        <f t="shared" ref="R17:R19" si="4">IF($I17=0,0,IF($P17=0,0,$G17*$J17/$I17*L17/$P17))</f>
        <v>0</v>
      </c>
      <c r="S17" s="171">
        <f t="shared" si="1"/>
        <v>0</v>
      </c>
      <c r="T17" s="171">
        <f t="shared" si="1"/>
        <v>0</v>
      </c>
      <c r="U17" s="171">
        <f t="shared" si="1"/>
        <v>0</v>
      </c>
      <c r="V17" s="172">
        <f t="shared" ref="V17:V18" si="5">G17-Q17</f>
        <v>0</v>
      </c>
    </row>
    <row r="18" spans="2:23" s="121" customFormat="1" ht="16.95" customHeight="1" outlineLevel="1" x14ac:dyDescent="0.25">
      <c r="B18" s="164" t="s">
        <v>144</v>
      </c>
      <c r="C18" s="567" t="s">
        <v>145</v>
      </c>
      <c r="D18" s="568"/>
      <c r="E18" s="568"/>
      <c r="F18" s="569"/>
      <c r="G18" s="165">
        <f>'Budget détaillé'!G18</f>
        <v>347</v>
      </c>
      <c r="H18" s="166">
        <v>52</v>
      </c>
      <c r="I18" s="173">
        <f>H18*G18</f>
        <v>18044</v>
      </c>
      <c r="J18" s="167">
        <f t="shared" si="2"/>
        <v>0</v>
      </c>
      <c r="K18" s="168">
        <f t="shared" si="3"/>
        <v>18044</v>
      </c>
      <c r="L18" s="169"/>
      <c r="M18" s="79"/>
      <c r="N18" s="79"/>
      <c r="O18" s="79"/>
      <c r="P18" s="174">
        <f>SUM(L18:O18)</f>
        <v>0</v>
      </c>
      <c r="Q18" s="171">
        <f>IF($I18=0,0,$G18*$J18/$I18)</f>
        <v>0</v>
      </c>
      <c r="R18" s="171">
        <f>IF($I18=0,0,IF($P18=0,0,$G18*$J18/$I18*L18/$P18))</f>
        <v>0</v>
      </c>
      <c r="S18" s="171">
        <f t="shared" si="1"/>
        <v>0</v>
      </c>
      <c r="T18" s="171">
        <f t="shared" si="1"/>
        <v>0</v>
      </c>
      <c r="U18" s="171">
        <f t="shared" si="1"/>
        <v>0</v>
      </c>
      <c r="V18" s="172">
        <f t="shared" si="5"/>
        <v>347</v>
      </c>
    </row>
    <row r="19" spans="2:23" s="121" customFormat="1" ht="18.600000000000001" customHeight="1" outlineLevel="1" x14ac:dyDescent="0.25">
      <c r="B19" s="164" t="s">
        <v>146</v>
      </c>
      <c r="C19" s="567" t="s">
        <v>147</v>
      </c>
      <c r="D19" s="568"/>
      <c r="E19" s="568"/>
      <c r="F19" s="569"/>
      <c r="G19" s="165">
        <f>'Budget détaillé'!G19</f>
        <v>0</v>
      </c>
      <c r="H19" s="175">
        <f>'Budget détaillé'!H19</f>
        <v>0</v>
      </c>
      <c r="I19" s="173">
        <f t="shared" ref="I19" si="6">H19*G19</f>
        <v>0</v>
      </c>
      <c r="J19" s="167">
        <f t="shared" si="2"/>
        <v>0</v>
      </c>
      <c r="K19" s="168">
        <f t="shared" si="3"/>
        <v>0</v>
      </c>
      <c r="L19" s="169"/>
      <c r="M19" s="169"/>
      <c r="N19" s="176"/>
      <c r="O19" s="79"/>
      <c r="P19" s="174">
        <f>SUM(L19:O19)</f>
        <v>0</v>
      </c>
      <c r="Q19" s="171">
        <f>IF($I19=0,0,$G19*$J19/$I19)</f>
        <v>0</v>
      </c>
      <c r="R19" s="171">
        <f t="shared" si="4"/>
        <v>0</v>
      </c>
      <c r="S19" s="171">
        <f>IF($I19=0,0,IF($P19=0,0,$G19*$J19/$I19*M19/$P19))</f>
        <v>0</v>
      </c>
      <c r="T19" s="171">
        <f t="shared" si="1"/>
        <v>0</v>
      </c>
      <c r="U19" s="171">
        <f t="shared" si="1"/>
        <v>0</v>
      </c>
      <c r="V19" s="172">
        <f>G19-Q19</f>
        <v>0</v>
      </c>
    </row>
    <row r="20" spans="2:23" s="121" customFormat="1" ht="22.2" customHeight="1" outlineLevel="1" thickBot="1" x14ac:dyDescent="0.3">
      <c r="B20" s="573" t="s">
        <v>148</v>
      </c>
      <c r="C20" s="574"/>
      <c r="D20" s="574"/>
      <c r="E20" s="574"/>
      <c r="F20" s="575"/>
      <c r="G20" s="177">
        <f>SUM(G16:G19)</f>
        <v>515.5</v>
      </c>
      <c r="H20" s="178">
        <f>IF(G20=0,0,I20/G20)</f>
        <v>49.215092143549946</v>
      </c>
      <c r="I20" s="179">
        <f>SUM(I16:I19)</f>
        <v>25370.379999999997</v>
      </c>
      <c r="J20" s="180">
        <f>SUM(J16:J19)</f>
        <v>0</v>
      </c>
      <c r="K20" s="181">
        <f>SUM(K16:K19)</f>
        <v>25370.379999999997</v>
      </c>
      <c r="L20" s="182">
        <f>SUM(L16:L19)</f>
        <v>0</v>
      </c>
      <c r="M20" s="179">
        <f>SUM(M16:M19)</f>
        <v>0</v>
      </c>
      <c r="N20" s="179">
        <f t="shared" ref="N20:P20" si="7">SUM(N16:N19)</f>
        <v>0</v>
      </c>
      <c r="O20" s="179">
        <f t="shared" si="7"/>
        <v>0</v>
      </c>
      <c r="P20" s="181">
        <f t="shared" si="7"/>
        <v>0</v>
      </c>
      <c r="Q20" s="152">
        <f>IF($K$72=0,0,K20/$K$72)</f>
        <v>0.20372415343724151</v>
      </c>
      <c r="R20" s="153" t="s">
        <v>139</v>
      </c>
      <c r="S20" s="73"/>
      <c r="T20" s="69"/>
      <c r="U20" s="69"/>
      <c r="V20" s="73"/>
    </row>
    <row r="21" spans="2:23" s="73" customFormat="1" ht="16.95" customHeight="1" outlineLevel="1" x14ac:dyDescent="0.25">
      <c r="B21" s="154" t="s">
        <v>149</v>
      </c>
      <c r="C21" s="155" t="s">
        <v>150</v>
      </c>
      <c r="D21" s="156"/>
      <c r="E21" s="156"/>
      <c r="F21" s="157"/>
      <c r="G21" s="158"/>
      <c r="H21" s="159"/>
      <c r="I21" s="158"/>
      <c r="J21" s="158"/>
      <c r="K21" s="160"/>
      <c r="L21" s="161"/>
      <c r="M21" s="159"/>
      <c r="N21" s="159"/>
      <c r="O21" s="159"/>
      <c r="P21" s="160"/>
      <c r="Q21" s="183"/>
      <c r="R21" s="69"/>
      <c r="S21" s="69"/>
      <c r="T21" s="69"/>
      <c r="U21" s="121"/>
      <c r="V21" s="121"/>
    </row>
    <row r="22" spans="2:23" s="121" customFormat="1" ht="16.95" customHeight="1" outlineLevel="1" x14ac:dyDescent="0.25">
      <c r="B22" s="164" t="s">
        <v>151</v>
      </c>
      <c r="C22" s="184" t="s">
        <v>152</v>
      </c>
      <c r="D22" s="185"/>
      <c r="E22" s="185"/>
      <c r="F22" s="186"/>
      <c r="G22" s="165">
        <f>'Budget détaillé'!G22</f>
        <v>51</v>
      </c>
      <c r="H22" s="166">
        <f>IF(G22=0,0,(SUMIF(Enseignements!$G$8:$G$89,Paramétrage!#REF!,Enseignements!U$8:U$89)*$H$16+SUMIF(Enseignements!$G$8:$G$89,Paramétrage!#REF!,Enseignements!V$8:V$89)*$H$17+SUMIF(Enseignements!$G$8:$G$89,Paramétrage!#REF!,Enseignements!W$8:W$89)*$H$18+SUMIF(Enseignements!$G$8:$G$89,Paramétrage!#REF!,Enseignements!X$8:X$89)*$H$19)/G22)</f>
        <v>0</v>
      </c>
      <c r="I22" s="167">
        <f>H22*G22</f>
        <v>0</v>
      </c>
      <c r="J22" s="173">
        <f>I22-K22</f>
        <v>0</v>
      </c>
      <c r="K22" s="168">
        <f t="shared" ref="K22" si="8">IF($E$7=0,0,I22/$E$7*$E$8)</f>
        <v>0</v>
      </c>
      <c r="L22" s="169"/>
      <c r="M22" s="176"/>
      <c r="N22" s="176"/>
      <c r="O22" s="79"/>
      <c r="P22" s="170">
        <f>SUM(L22:O22)</f>
        <v>0</v>
      </c>
      <c r="Q22" s="171">
        <f>IF($I22=0,0,$G22*$J22/$I22)</f>
        <v>0</v>
      </c>
      <c r="R22" s="171">
        <f t="shared" ref="R22:T26" si="9">IF($I22=0,0,IF($P22=0,0,$G22*$J22/$I22*L22/$P22))</f>
        <v>0</v>
      </c>
      <c r="S22" s="171">
        <f t="shared" si="9"/>
        <v>0</v>
      </c>
      <c r="T22" s="171">
        <f>IF($I22=0,0,IF($P22=0,0,$G22*$J22/$I22*N22/$P22))</f>
        <v>0</v>
      </c>
      <c r="U22" s="171">
        <f t="shared" ref="U22:U26" si="10">IF($I22=0,0,IF($P22=0,0,$G22*$J22/$I22*O22/$P22))</f>
        <v>0</v>
      </c>
      <c r="V22" s="171">
        <f t="shared" ref="V22:V30" si="11">G22-Q22</f>
        <v>51</v>
      </c>
      <c r="W22" s="88"/>
    </row>
    <row r="23" spans="2:23" s="121" customFormat="1" ht="16.95" customHeight="1" outlineLevel="1" x14ac:dyDescent="0.25">
      <c r="B23" s="164" t="s">
        <v>153</v>
      </c>
      <c r="C23" s="567" t="s">
        <v>154</v>
      </c>
      <c r="D23" s="568"/>
      <c r="E23" s="568"/>
      <c r="F23" s="569"/>
      <c r="G23" s="165">
        <f>'Budget détaillé'!G23</f>
        <v>0</v>
      </c>
      <c r="H23" s="166">
        <f>IF(G23=0,0,(SUMIF(Enseignements!$G$8:$G$89,Paramétrage!$D$17,Enseignements!U$8:U$89)*$H$16+SUMIF(Enseignements!$G$8:$G$89,Paramétrage!$D$17,Enseignements!V$8:V$89)*$H$17+SUMIF(Enseignements!$G$8:$G$89,Paramétrage!$D$17,Enseignements!W$8:W$89)*$H$18+SUMIF(Enseignements!$G$8:$G$89,Paramétrage!$D$17,Enseignements!X$8:X$89)*$H$19)/G23)</f>
        <v>0</v>
      </c>
      <c r="I23" s="167">
        <f>H23*G23</f>
        <v>0</v>
      </c>
      <c r="J23" s="167">
        <f>I23-K23</f>
        <v>0</v>
      </c>
      <c r="K23" s="168">
        <f>IF($E$7=0,0,I23/$E$7*$E$8)</f>
        <v>0</v>
      </c>
      <c r="L23" s="79"/>
      <c r="M23" s="79"/>
      <c r="N23" s="79"/>
      <c r="O23" s="79"/>
      <c r="P23" s="174">
        <f>SUM(L23:O23)</f>
        <v>0</v>
      </c>
      <c r="Q23" s="171">
        <f>IF($I23=0,0,$G23*$J23/$I23)</f>
        <v>0</v>
      </c>
      <c r="R23" s="171">
        <f t="shared" si="9"/>
        <v>0</v>
      </c>
      <c r="S23" s="171">
        <f t="shared" si="9"/>
        <v>0</v>
      </c>
      <c r="T23" s="171">
        <f t="shared" si="9"/>
        <v>0</v>
      </c>
      <c r="U23" s="171">
        <f t="shared" si="10"/>
        <v>0</v>
      </c>
      <c r="V23" s="171">
        <f t="shared" si="11"/>
        <v>0</v>
      </c>
      <c r="W23" s="88"/>
    </row>
    <row r="24" spans="2:23" s="121" customFormat="1" ht="16.95" customHeight="1" outlineLevel="1" x14ac:dyDescent="0.25">
      <c r="B24" s="164" t="s">
        <v>155</v>
      </c>
      <c r="C24" s="567" t="s">
        <v>156</v>
      </c>
      <c r="D24" s="568"/>
      <c r="E24" s="568"/>
      <c r="F24" s="569"/>
      <c r="G24" s="165">
        <f>'Budget détaillé'!G24</f>
        <v>0</v>
      </c>
      <c r="H24" s="166">
        <f>IF(G24=0,0,(SUMIF(Enseignements!$G$8:$G$89,Paramétrage!$D$19,Enseignements!U$8:U$89)*$H$16+SUMIF(Enseignements!$G$8:$G$89,Paramétrage!$D$19,Enseignements!V$8:V$89)*$H$17+SUMIF(Enseignements!$G$8:$G$89,Paramétrage!$D$19,Enseignements!W$8:W$89)*$H$18+SUMIF(Enseignements!$G$8:$G$89,Paramétrage!$D$19,Enseignements!X$8:X$89)*$H$19)/G24)</f>
        <v>0</v>
      </c>
      <c r="I24" s="167">
        <f>H24*G24</f>
        <v>0</v>
      </c>
      <c r="J24" s="173">
        <f>I24</f>
        <v>0</v>
      </c>
      <c r="K24" s="168">
        <v>0</v>
      </c>
      <c r="L24" s="169"/>
      <c r="M24" s="79"/>
      <c r="N24" s="79"/>
      <c r="O24" s="79"/>
      <c r="P24" s="174">
        <f>SUM(L24:O24)</f>
        <v>0</v>
      </c>
      <c r="Q24" s="171">
        <f>IF($I24=0,0,$G24*$J24/$I24)</f>
        <v>0</v>
      </c>
      <c r="R24" s="171">
        <f t="shared" si="9"/>
        <v>0</v>
      </c>
      <c r="S24" s="171">
        <f t="shared" si="9"/>
        <v>0</v>
      </c>
      <c r="T24" s="171">
        <f t="shared" si="9"/>
        <v>0</v>
      </c>
      <c r="U24" s="171">
        <f t="shared" si="10"/>
        <v>0</v>
      </c>
      <c r="V24" s="171">
        <f t="shared" si="11"/>
        <v>0</v>
      </c>
      <c r="W24" s="88"/>
    </row>
    <row r="25" spans="2:23" s="121" customFormat="1" ht="16.95" customHeight="1" outlineLevel="1" x14ac:dyDescent="0.25">
      <c r="B25" s="164" t="s">
        <v>157</v>
      </c>
      <c r="C25" s="567" t="s">
        <v>158</v>
      </c>
      <c r="D25" s="568"/>
      <c r="E25" s="568"/>
      <c r="F25" s="569"/>
      <c r="G25" s="165">
        <f>'Budget détaillé'!G25</f>
        <v>120</v>
      </c>
      <c r="H25" s="166">
        <f>IF(G25=0,0,(SUMIF(Enseignements!$G$8:$G$89,Paramétrage!$D$12,Enseignements!U$8:U$89)*$H$16+SUMIF(Enseignements!$G$8:$G$89,Paramétrage!$D$12,Enseignements!V$8:V$89)*$H$17+SUMIF(Enseignements!$G$8:$G$89,Paramétrage!$D$12,Enseignements!W$8:W$89)*$H$18+SUMIF(Enseignements!$G$8:$G$89,Paramétrage!$D$12,Enseignements!X$8:X$89)*$H$19)/G25)</f>
        <v>45.183999999999997</v>
      </c>
      <c r="I25" s="167">
        <f>H25*G25</f>
        <v>5422.08</v>
      </c>
      <c r="J25" s="167">
        <f>I25-K25</f>
        <v>0</v>
      </c>
      <c r="K25" s="168">
        <f>I25</f>
        <v>5422.08</v>
      </c>
      <c r="L25" s="169"/>
      <c r="M25" s="176"/>
      <c r="N25" s="176"/>
      <c r="O25" s="79"/>
      <c r="P25" s="174">
        <f>SUM(L25:O25)</f>
        <v>0</v>
      </c>
      <c r="Q25" s="171">
        <f>IF($I25=0,0,$G25*$J25/$I25)</f>
        <v>0</v>
      </c>
      <c r="R25" s="171">
        <f t="shared" si="9"/>
        <v>0</v>
      </c>
      <c r="S25" s="171">
        <f t="shared" si="9"/>
        <v>0</v>
      </c>
      <c r="T25" s="171">
        <f t="shared" si="9"/>
        <v>0</v>
      </c>
      <c r="U25" s="171">
        <f t="shared" si="10"/>
        <v>0</v>
      </c>
      <c r="V25" s="171">
        <f t="shared" si="11"/>
        <v>120</v>
      </c>
      <c r="W25" s="88"/>
    </row>
    <row r="26" spans="2:23" s="121" customFormat="1" ht="16.95" customHeight="1" outlineLevel="1" x14ac:dyDescent="0.25">
      <c r="B26" s="164" t="s">
        <v>159</v>
      </c>
      <c r="C26" s="567" t="s">
        <v>160</v>
      </c>
      <c r="D26" s="568"/>
      <c r="E26" s="568"/>
      <c r="F26" s="569"/>
      <c r="G26" s="165">
        <f>'Budget détaillé'!G26</f>
        <v>10</v>
      </c>
      <c r="H26" s="166">
        <f>IF(G26=0,0,(SUMIF(Enseignements!$G$8:$G$89,Paramétrage!$D$22,Enseignements!U$8:U$89)*$H$16+SUMIF(Enseignements!$G$8:$G$89,Paramétrage!$D$22,Enseignements!V$8:V$89)*$H$17+SUMIF(Enseignements!$G$8:$G$89,Paramétrage!$D$22,Enseignements!W$8:W$89)*$H$18+SUMIF(Enseignements!$G$8:$G$89,Paramétrage!$D$22,Enseignements!X$8:X$89)*$H$19)/G26)+IF(G26=0,0,(SUMIF(Enseignements!$G$8:$G$89,Paramétrage!$D$25,Enseignements!U$8:U$89)*$H$16+SUMIF(Enseignements!$G$8:$G$89,Paramétrage!$D$25,Enseignements!V$8:V$89)*$H$17+SUMIF(Enseignements!$G$8:$G$89,Paramétrage!$D$25,Enseignements!W$8:W$89)*$H$18+SUMIF(Enseignements!$G$8:$G$89,Paramétrage!$D$25,Enseignements!X$8:X$89)*$H$19)/G26)</f>
        <v>43.48</v>
      </c>
      <c r="I26" s="167">
        <f>H26*G26</f>
        <v>434.79999999999995</v>
      </c>
      <c r="J26" s="167">
        <f>I26-K26</f>
        <v>0</v>
      </c>
      <c r="K26" s="168">
        <f t="shared" ref="K26" si="12">IF($E$7=0,0,I26/$E$7*$E$8)</f>
        <v>434.79999999999995</v>
      </c>
      <c r="L26" s="79"/>
      <c r="M26" s="79"/>
      <c r="N26" s="79"/>
      <c r="O26" s="79"/>
      <c r="P26" s="174">
        <f>SUM(L26:O26)</f>
        <v>0</v>
      </c>
      <c r="Q26" s="171">
        <f>IF($I26=0,0,$G26*$J26/$I26)</f>
        <v>0</v>
      </c>
      <c r="R26" s="171">
        <f t="shared" si="9"/>
        <v>0</v>
      </c>
      <c r="S26" s="171">
        <f t="shared" si="9"/>
        <v>0</v>
      </c>
      <c r="T26" s="171">
        <f t="shared" si="9"/>
        <v>0</v>
      </c>
      <c r="U26" s="171">
        <f t="shared" si="10"/>
        <v>0</v>
      </c>
      <c r="V26" s="171">
        <f t="shared" si="11"/>
        <v>10</v>
      </c>
      <c r="W26" s="88"/>
    </row>
    <row r="27" spans="2:23" s="121" customFormat="1" ht="21.6" customHeight="1" outlineLevel="1" thickBot="1" x14ac:dyDescent="0.3">
      <c r="B27" s="573" t="s">
        <v>161</v>
      </c>
      <c r="C27" s="574"/>
      <c r="D27" s="574"/>
      <c r="E27" s="574"/>
      <c r="F27" s="575"/>
      <c r="G27" s="177">
        <f>SUM(G22:G26)</f>
        <v>181</v>
      </c>
      <c r="H27" s="178">
        <f>IF(G27=0,0,I27/G27)</f>
        <v>32.358453038674035</v>
      </c>
      <c r="I27" s="178">
        <f>SUM(I22:I26)</f>
        <v>5856.88</v>
      </c>
      <c r="J27" s="178">
        <f t="shared" ref="J27:K27" si="13">SUM(J22:J26)</f>
        <v>0</v>
      </c>
      <c r="K27" s="178">
        <f t="shared" si="13"/>
        <v>5856.88</v>
      </c>
      <c r="L27" s="187">
        <f>SUM(L22:L26)</f>
        <v>0</v>
      </c>
      <c r="M27" s="188">
        <f>SUM(M22:M26)</f>
        <v>0</v>
      </c>
      <c r="N27" s="189">
        <f t="shared" ref="N27:O27" si="14">SUM(N22:N26)</f>
        <v>0</v>
      </c>
      <c r="O27" s="179">
        <f t="shared" si="14"/>
        <v>0</v>
      </c>
      <c r="P27" s="181">
        <f t="shared" ref="P27" si="15">SUM(P22:P25)</f>
        <v>0</v>
      </c>
      <c r="Q27" s="152">
        <f>IF($K$72=0,0,K27/$K$72)</f>
        <v>4.703074687030747E-2</v>
      </c>
      <c r="R27" s="153" t="s">
        <v>139</v>
      </c>
      <c r="S27" s="73"/>
      <c r="T27" s="120"/>
    </row>
    <row r="28" spans="2:23" s="121" customFormat="1" ht="16.95" customHeight="1" outlineLevel="1" x14ac:dyDescent="0.25">
      <c r="B28" s="190" t="s">
        <v>162</v>
      </c>
      <c r="C28" s="191" t="s">
        <v>163</v>
      </c>
      <c r="D28" s="119"/>
      <c r="E28" s="119"/>
      <c r="F28" s="192"/>
      <c r="G28" s="193"/>
      <c r="H28" s="194"/>
      <c r="I28" s="193"/>
      <c r="J28" s="193"/>
      <c r="K28" s="195"/>
      <c r="L28" s="196"/>
      <c r="M28" s="197"/>
      <c r="N28" s="197"/>
      <c r="O28" s="197"/>
      <c r="P28" s="198"/>
      <c r="Q28" s="162"/>
      <c r="R28" s="199">
        <f t="shared" ref="R28:U31" si="16">IF($I28=0,0,IF($P28=0,0,$G28*$J28/$I28*L28/$P28))</f>
        <v>0</v>
      </c>
      <c r="S28" s="199">
        <f t="shared" si="16"/>
        <v>0</v>
      </c>
      <c r="T28" s="199">
        <f t="shared" si="16"/>
        <v>0</v>
      </c>
      <c r="U28" s="200">
        <f t="shared" si="16"/>
        <v>0</v>
      </c>
      <c r="V28" s="201"/>
    </row>
    <row r="29" spans="2:23" s="121" customFormat="1" ht="16.95" customHeight="1" outlineLevel="1" x14ac:dyDescent="0.25">
      <c r="B29" s="164" t="s">
        <v>164</v>
      </c>
      <c r="C29" s="567" t="s">
        <v>165</v>
      </c>
      <c r="D29" s="568"/>
      <c r="E29" s="568"/>
      <c r="F29" s="569"/>
      <c r="G29" s="79">
        <f>'Budget détaillé'!G29</f>
        <v>24</v>
      </c>
      <c r="H29" s="166">
        <f>+H16</f>
        <v>43.48</v>
      </c>
      <c r="I29" s="202">
        <f>H29*G29</f>
        <v>1043.52</v>
      </c>
      <c r="J29" s="167">
        <f t="shared" ref="J29:J31" si="17">I29-K29</f>
        <v>0</v>
      </c>
      <c r="K29" s="168">
        <f t="shared" ref="K29:K31" si="18">IF($E$7=0,0,I29/$E$7*$E$8)</f>
        <v>1043.52</v>
      </c>
      <c r="L29" s="203"/>
      <c r="M29" s="79"/>
      <c r="N29" s="79"/>
      <c r="O29" s="79"/>
      <c r="P29" s="174">
        <f>SUM(L29:O29)</f>
        <v>0</v>
      </c>
      <c r="Q29" s="171">
        <f>IF($I29=0,0,$G29*$J29/$I29)</f>
        <v>0</v>
      </c>
      <c r="R29" s="171">
        <f t="shared" si="16"/>
        <v>0</v>
      </c>
      <c r="S29" s="171">
        <f t="shared" si="16"/>
        <v>0</v>
      </c>
      <c r="T29" s="171">
        <f t="shared" si="16"/>
        <v>0</v>
      </c>
      <c r="U29" s="171">
        <f>IF($I29=0,0,IF($P29=0,0,$G29*$J29/$I29*O29/$P29))</f>
        <v>0</v>
      </c>
      <c r="V29" s="172">
        <f t="shared" si="11"/>
        <v>24</v>
      </c>
      <c r="W29" s="204"/>
    </row>
    <row r="30" spans="2:23" s="121" customFormat="1" ht="16.95" customHeight="1" outlineLevel="1" x14ac:dyDescent="0.25">
      <c r="B30" s="164" t="s">
        <v>166</v>
      </c>
      <c r="C30" s="567" t="s">
        <v>167</v>
      </c>
      <c r="D30" s="568"/>
      <c r="E30" s="568"/>
      <c r="F30" s="569"/>
      <c r="G30" s="79">
        <f>'Budget détaillé'!G30</f>
        <v>0</v>
      </c>
      <c r="H30" s="166">
        <f>$H$20</f>
        <v>49.215092143549946</v>
      </c>
      <c r="I30" s="202">
        <f>H30*G30</f>
        <v>0</v>
      </c>
      <c r="J30" s="167">
        <f t="shared" si="17"/>
        <v>0</v>
      </c>
      <c r="K30" s="168">
        <f>I30</f>
        <v>0</v>
      </c>
      <c r="L30" s="203"/>
      <c r="M30" s="169"/>
      <c r="N30" s="79"/>
      <c r="O30" s="79"/>
      <c r="P30" s="174">
        <f>SUM(L30:O30)</f>
        <v>0</v>
      </c>
      <c r="Q30" s="171">
        <f t="shared" ref="Q30:Q31" si="19">IF($I30=0,0,$G30*$J30/$I30)</f>
        <v>0</v>
      </c>
      <c r="R30" s="171">
        <f t="shared" si="16"/>
        <v>0</v>
      </c>
      <c r="S30" s="171">
        <f t="shared" si="16"/>
        <v>0</v>
      </c>
      <c r="T30" s="171">
        <f t="shared" si="16"/>
        <v>0</v>
      </c>
      <c r="U30" s="171">
        <f t="shared" si="16"/>
        <v>0</v>
      </c>
      <c r="V30" s="172">
        <f t="shared" si="11"/>
        <v>0</v>
      </c>
      <c r="W30" s="204"/>
    </row>
    <row r="31" spans="2:23" s="121" customFormat="1" ht="16.95" customHeight="1" outlineLevel="1" x14ac:dyDescent="0.25">
      <c r="B31" s="164" t="s">
        <v>168</v>
      </c>
      <c r="C31" s="367" t="s">
        <v>26</v>
      </c>
      <c r="D31" s="185"/>
      <c r="E31" s="185"/>
      <c r="F31" s="186"/>
      <c r="G31" s="79">
        <f>'Budget détaillé'!G31</f>
        <v>0</v>
      </c>
      <c r="H31" s="166">
        <f>$H$20</f>
        <v>49.215092143549946</v>
      </c>
      <c r="I31" s="206">
        <f>H31*G31</f>
        <v>0</v>
      </c>
      <c r="J31" s="167">
        <f t="shared" si="17"/>
        <v>0</v>
      </c>
      <c r="K31" s="168">
        <f t="shared" si="18"/>
        <v>0</v>
      </c>
      <c r="L31" s="207"/>
      <c r="M31" s="79"/>
      <c r="N31" s="79"/>
      <c r="O31" s="79"/>
      <c r="P31" s="174">
        <f>SUM(L31:O31)</f>
        <v>0</v>
      </c>
      <c r="Q31" s="171">
        <f t="shared" si="19"/>
        <v>0</v>
      </c>
      <c r="R31" s="171">
        <f t="shared" si="16"/>
        <v>0</v>
      </c>
      <c r="S31" s="171">
        <f t="shared" si="16"/>
        <v>0</v>
      </c>
      <c r="T31" s="171">
        <f t="shared" si="16"/>
        <v>0</v>
      </c>
      <c r="U31" s="171">
        <f t="shared" si="16"/>
        <v>0</v>
      </c>
      <c r="V31" s="172">
        <f>G31-Q31</f>
        <v>0</v>
      </c>
      <c r="W31" s="204"/>
    </row>
    <row r="32" spans="2:23" s="121" customFormat="1" ht="21" customHeight="1" outlineLevel="1" thickBot="1" x14ac:dyDescent="0.3">
      <c r="B32" s="579" t="s">
        <v>169</v>
      </c>
      <c r="C32" s="580"/>
      <c r="D32" s="580"/>
      <c r="E32" s="580"/>
      <c r="F32" s="581"/>
      <c r="G32" s="208">
        <f>SUM(G29:G31)</f>
        <v>24</v>
      </c>
      <c r="H32" s="209">
        <f>IF(G32=0,0,I32/G32)</f>
        <v>43.48</v>
      </c>
      <c r="I32" s="209">
        <f>SUM(I29:I31)</f>
        <v>1043.52</v>
      </c>
      <c r="J32" s="209">
        <f>SUM(J29:J31)</f>
        <v>0</v>
      </c>
      <c r="K32" s="210">
        <f>SUM(K29:K31)</f>
        <v>1043.52</v>
      </c>
      <c r="L32" s="182">
        <f t="shared" ref="L32:M32" si="20">SUM(L29:L31)</f>
        <v>0</v>
      </c>
      <c r="M32" s="179">
        <f t="shared" si="20"/>
        <v>0</v>
      </c>
      <c r="N32" s="179">
        <f>SUM(N29:N31)</f>
        <v>0</v>
      </c>
      <c r="O32" s="179">
        <f>SUM(O29:O31)</f>
        <v>0</v>
      </c>
      <c r="P32" s="181">
        <f t="shared" ref="P32" si="21">SUM(P28:P31)</f>
        <v>0</v>
      </c>
      <c r="Q32" s="152">
        <f>IF($K$72=0,0,K32/$K$72)</f>
        <v>8.3794656837946572E-3</v>
      </c>
      <c r="R32" s="153" t="s">
        <v>139</v>
      </c>
      <c r="S32" s="73"/>
      <c r="T32" s="120"/>
      <c r="U32" s="70"/>
    </row>
    <row r="33" spans="2:22" s="121" customFormat="1" ht="21" customHeight="1" outlineLevel="1" x14ac:dyDescent="0.25">
      <c r="B33" s="211"/>
      <c r="C33" s="212"/>
      <c r="D33" s="213"/>
      <c r="E33" s="214"/>
      <c r="F33" s="214"/>
      <c r="G33" s="214"/>
      <c r="H33" s="215" t="s">
        <v>170</v>
      </c>
      <c r="I33" s="216">
        <f>K33+J33</f>
        <v>720.5</v>
      </c>
      <c r="J33" s="216">
        <f>SUM(Q16:Q19)+SUM(Q22:Q26)+SUM(Q29:Q31)</f>
        <v>0</v>
      </c>
      <c r="K33" s="217">
        <f>SUM(V16:V19)+SUM(V22:V26)+SUM(V29:V31)</f>
        <v>720.5</v>
      </c>
      <c r="L33" s="218"/>
      <c r="M33" s="218"/>
      <c r="N33" s="218"/>
      <c r="O33" s="218"/>
      <c r="P33" s="218"/>
      <c r="Q33" s="219"/>
      <c r="R33" s="219"/>
      <c r="S33" s="220"/>
      <c r="T33" s="221"/>
      <c r="U33" s="120"/>
      <c r="V33" s="222"/>
    </row>
    <row r="34" spans="2:22" s="121" customFormat="1" ht="21" customHeight="1" outlineLevel="1" thickBot="1" x14ac:dyDescent="0.3">
      <c r="B34" s="223"/>
      <c r="C34" s="224"/>
      <c r="D34" s="225"/>
      <c r="E34" s="226"/>
      <c r="F34" s="226"/>
      <c r="G34" s="226"/>
      <c r="H34" s="227" t="s">
        <v>171</v>
      </c>
      <c r="I34" s="228">
        <f>IF($E$7=0,0,(I32+I20+I27)/$E$7)</f>
        <v>1792.8211111111111</v>
      </c>
      <c r="J34" s="229">
        <f>IF($E$7-$E$8=0,0,(J32+J20+J27)/($E$7-$E$8))</f>
        <v>0</v>
      </c>
      <c r="K34" s="230">
        <f>IF($E$8=0,0,(K32+K20+K27)/$E$8)</f>
        <v>1792.8211111111111</v>
      </c>
      <c r="L34" s="218"/>
      <c r="M34" s="218"/>
      <c r="N34" s="218"/>
      <c r="O34" s="218"/>
      <c r="P34" s="218"/>
      <c r="Q34" s="219"/>
      <c r="R34" s="219"/>
      <c r="S34" s="220"/>
      <c r="T34" s="221"/>
      <c r="U34" s="120"/>
      <c r="V34" s="222"/>
    </row>
    <row r="35" spans="2:22" s="73" customFormat="1" ht="22.2" customHeight="1" thickBot="1" x14ac:dyDescent="0.3">
      <c r="B35" s="231" t="s">
        <v>172</v>
      </c>
      <c r="C35" s="232"/>
      <c r="D35" s="233"/>
      <c r="E35" s="233"/>
      <c r="F35" s="233"/>
      <c r="G35" s="233"/>
      <c r="H35" s="234"/>
      <c r="I35" s="235">
        <f t="shared" ref="I35:P35" si="22">SUM(I36:I44)</f>
        <v>4500</v>
      </c>
      <c r="J35" s="236">
        <f t="shared" si="22"/>
        <v>0</v>
      </c>
      <c r="K35" s="237">
        <f t="shared" si="22"/>
        <v>4500</v>
      </c>
      <c r="L35" s="151">
        <f t="shared" si="22"/>
        <v>0</v>
      </c>
      <c r="M35" s="147">
        <f t="shared" si="22"/>
        <v>0</v>
      </c>
      <c r="N35" s="148">
        <f t="shared" si="22"/>
        <v>0</v>
      </c>
      <c r="O35" s="147">
        <f t="shared" si="22"/>
        <v>0</v>
      </c>
      <c r="P35" s="238">
        <f t="shared" si="22"/>
        <v>0</v>
      </c>
      <c r="Q35" s="152">
        <f>IF($K$72=0,0,K35/$K$72)</f>
        <v>3.6135000361350006E-2</v>
      </c>
      <c r="R35" s="153" t="s">
        <v>139</v>
      </c>
      <c r="U35" s="121"/>
      <c r="V35" s="121"/>
    </row>
    <row r="36" spans="2:22" s="121" customFormat="1" ht="16.95" customHeight="1" outlineLevel="1" x14ac:dyDescent="0.25">
      <c r="B36" s="239" t="s">
        <v>173</v>
      </c>
      <c r="C36" s="240" t="s">
        <v>174</v>
      </c>
      <c r="D36" s="241"/>
      <c r="E36" s="241"/>
      <c r="F36" s="241"/>
      <c r="G36" s="241"/>
      <c r="H36" s="241"/>
      <c r="I36" s="242">
        <f>'Budget détaillé'!I36</f>
        <v>500</v>
      </c>
      <c r="J36" s="243">
        <f>'Budget détaillé'!J36</f>
        <v>0</v>
      </c>
      <c r="K36" s="244">
        <f>'Budget détaillé'!K36</f>
        <v>500</v>
      </c>
      <c r="L36" s="245"/>
      <c r="M36" s="246"/>
      <c r="N36" s="247"/>
      <c r="O36" s="246"/>
      <c r="P36" s="248">
        <f>SUM(L36:O36)</f>
        <v>0</v>
      </c>
      <c r="Q36" s="249"/>
      <c r="R36" s="250"/>
      <c r="S36" s="73"/>
    </row>
    <row r="37" spans="2:22" s="121" customFormat="1" ht="16.95" customHeight="1" outlineLevel="1" x14ac:dyDescent="0.25">
      <c r="B37" s="97" t="s">
        <v>175</v>
      </c>
      <c r="C37" s="251" t="s">
        <v>176</v>
      </c>
      <c r="D37" s="252"/>
      <c r="E37" s="252"/>
      <c r="F37" s="252"/>
      <c r="G37" s="252"/>
      <c r="H37" s="252"/>
      <c r="I37" s="253">
        <f>'Budget détaillé'!I37</f>
        <v>0</v>
      </c>
      <c r="J37" s="166">
        <f>'Budget détaillé'!J37</f>
        <v>0</v>
      </c>
      <c r="K37" s="254">
        <f>'Budget détaillé'!K37</f>
        <v>0</v>
      </c>
      <c r="L37" s="203"/>
      <c r="M37" s="169"/>
      <c r="N37" s="255"/>
      <c r="O37" s="169"/>
      <c r="P37" s="174">
        <f>SUM(L37:O37)</f>
        <v>0</v>
      </c>
      <c r="Q37" s="249"/>
      <c r="R37" s="250"/>
      <c r="S37" s="73"/>
    </row>
    <row r="38" spans="2:22" s="121" customFormat="1" ht="16.95" customHeight="1" outlineLevel="1" x14ac:dyDescent="0.25">
      <c r="B38" s="97" t="s">
        <v>177</v>
      </c>
      <c r="C38" s="251" t="s">
        <v>178</v>
      </c>
      <c r="D38" s="252"/>
      <c r="E38" s="252"/>
      <c r="F38" s="252"/>
      <c r="G38" s="252"/>
      <c r="H38" s="252"/>
      <c r="I38" s="253">
        <f>'Budget détaillé'!I38</f>
        <v>0</v>
      </c>
      <c r="J38" s="166">
        <f>'Budget détaillé'!J38</f>
        <v>0</v>
      </c>
      <c r="K38" s="254">
        <f>'Budget détaillé'!K38</f>
        <v>0</v>
      </c>
      <c r="L38" s="203"/>
      <c r="M38" s="169"/>
      <c r="N38" s="255"/>
      <c r="O38" s="169"/>
      <c r="P38" s="174">
        <f t="shared" ref="P38:P44" si="23">SUM(L38:O38)</f>
        <v>0</v>
      </c>
      <c r="Q38" s="249"/>
      <c r="R38" s="250"/>
      <c r="S38" s="73"/>
    </row>
    <row r="39" spans="2:22" s="121" customFormat="1" ht="16.95" customHeight="1" outlineLevel="1" x14ac:dyDescent="0.25">
      <c r="B39" s="97" t="s">
        <v>179</v>
      </c>
      <c r="C39" s="251" t="s">
        <v>180</v>
      </c>
      <c r="D39" s="252"/>
      <c r="E39" s="252"/>
      <c r="F39" s="252"/>
      <c r="G39" s="252"/>
      <c r="H39" s="252"/>
      <c r="I39" s="253">
        <f>'Budget détaillé'!I39</f>
        <v>0</v>
      </c>
      <c r="J39" s="166">
        <f>'Budget détaillé'!J39</f>
        <v>0</v>
      </c>
      <c r="K39" s="254">
        <f>'Budget détaillé'!K39</f>
        <v>0</v>
      </c>
      <c r="L39" s="203"/>
      <c r="M39" s="169"/>
      <c r="N39" s="255"/>
      <c r="O39" s="169"/>
      <c r="P39" s="174">
        <f t="shared" si="23"/>
        <v>0</v>
      </c>
      <c r="Q39" s="249"/>
      <c r="R39" s="250"/>
      <c r="S39" s="73"/>
    </row>
    <row r="40" spans="2:22" s="121" customFormat="1" ht="16.95" customHeight="1" outlineLevel="1" x14ac:dyDescent="0.25">
      <c r="B40" s="97" t="s">
        <v>181</v>
      </c>
      <c r="C40" s="251" t="s">
        <v>182</v>
      </c>
      <c r="D40" s="252"/>
      <c r="E40" s="252"/>
      <c r="F40" s="252"/>
      <c r="G40" s="252"/>
      <c r="H40" s="252"/>
      <c r="I40" s="253">
        <f>'Budget détaillé'!I40</f>
        <v>2000</v>
      </c>
      <c r="J40" s="166">
        <f>'Budget détaillé'!J40</f>
        <v>0</v>
      </c>
      <c r="K40" s="254">
        <f>'Budget détaillé'!K40</f>
        <v>2000</v>
      </c>
      <c r="L40" s="203"/>
      <c r="M40" s="169"/>
      <c r="N40" s="255"/>
      <c r="O40" s="169"/>
      <c r="P40" s="174">
        <f>SUM(L40:O40)</f>
        <v>0</v>
      </c>
      <c r="Q40" s="249"/>
      <c r="R40" s="250"/>
      <c r="S40" s="73"/>
    </row>
    <row r="41" spans="2:22" s="121" customFormat="1" ht="16.95" customHeight="1" outlineLevel="1" x14ac:dyDescent="0.25">
      <c r="B41" s="97" t="s">
        <v>183</v>
      </c>
      <c r="C41" s="251" t="s">
        <v>184</v>
      </c>
      <c r="D41" s="252"/>
      <c r="E41" s="252"/>
      <c r="F41" s="252"/>
      <c r="G41" s="252"/>
      <c r="H41" s="252"/>
      <c r="I41" s="253">
        <f>'Budget détaillé'!I41</f>
        <v>0</v>
      </c>
      <c r="J41" s="166">
        <f>'Budget détaillé'!J41</f>
        <v>0</v>
      </c>
      <c r="K41" s="254">
        <f>'Budget détaillé'!K41</f>
        <v>0</v>
      </c>
      <c r="L41" s="203"/>
      <c r="M41" s="169"/>
      <c r="N41" s="255"/>
      <c r="O41" s="169"/>
      <c r="P41" s="174">
        <f>SUM(L41:O41)</f>
        <v>0</v>
      </c>
      <c r="Q41" s="249"/>
      <c r="R41" s="250"/>
      <c r="S41" s="73"/>
    </row>
    <row r="42" spans="2:22" s="121" customFormat="1" ht="16.95" customHeight="1" outlineLevel="1" x14ac:dyDescent="0.25">
      <c r="B42" s="97" t="s">
        <v>185</v>
      </c>
      <c r="C42" s="251" t="s">
        <v>287</v>
      </c>
      <c r="D42" s="252"/>
      <c r="E42" s="252"/>
      <c r="F42" s="252"/>
      <c r="G42" s="252"/>
      <c r="H42" s="252"/>
      <c r="I42" s="253">
        <f>'Budget détaillé'!I42</f>
        <v>2000</v>
      </c>
      <c r="J42" s="166">
        <f>'Budget détaillé'!J42</f>
        <v>0</v>
      </c>
      <c r="K42" s="254">
        <f>'Budget détaillé'!K42</f>
        <v>2000</v>
      </c>
      <c r="L42" s="203"/>
      <c r="M42" s="169"/>
      <c r="N42" s="255"/>
      <c r="O42" s="169"/>
      <c r="P42" s="174">
        <f t="shared" si="23"/>
        <v>0</v>
      </c>
      <c r="Q42" s="249"/>
      <c r="R42" s="250"/>
      <c r="S42" s="73"/>
    </row>
    <row r="43" spans="2:22" s="121" customFormat="1" ht="16.95" customHeight="1" outlineLevel="1" x14ac:dyDescent="0.25">
      <c r="B43" s="97" t="s">
        <v>187</v>
      </c>
      <c r="C43" s="251" t="s">
        <v>188</v>
      </c>
      <c r="D43" s="252"/>
      <c r="E43" s="252"/>
      <c r="F43" s="252"/>
      <c r="G43" s="252"/>
      <c r="H43" s="252"/>
      <c r="I43" s="253">
        <f>'Budget détaillé'!I43</f>
        <v>0</v>
      </c>
      <c r="J43" s="166">
        <f>'Budget détaillé'!J43</f>
        <v>0</v>
      </c>
      <c r="K43" s="254">
        <f>'Budget détaillé'!K43</f>
        <v>0</v>
      </c>
      <c r="L43" s="203"/>
      <c r="M43" s="169"/>
      <c r="N43" s="255"/>
      <c r="O43" s="169"/>
      <c r="P43" s="174">
        <f t="shared" si="23"/>
        <v>0</v>
      </c>
      <c r="Q43" s="249"/>
      <c r="R43" s="250"/>
      <c r="S43" s="73"/>
    </row>
    <row r="44" spans="2:22" s="121" customFormat="1" ht="16.95" customHeight="1" outlineLevel="1" thickBot="1" x14ac:dyDescent="0.3">
      <c r="B44" s="256" t="s">
        <v>189</v>
      </c>
      <c r="C44" s="257" t="s">
        <v>190</v>
      </c>
      <c r="D44" s="258"/>
      <c r="E44" s="258"/>
      <c r="F44" s="258"/>
      <c r="G44" s="258"/>
      <c r="H44" s="259"/>
      <c r="I44" s="260">
        <f>'Budget détaillé'!I44</f>
        <v>0</v>
      </c>
      <c r="J44" s="261">
        <f>'Budget détaillé'!J44</f>
        <v>0</v>
      </c>
      <c r="K44" s="262">
        <f>'Budget détaillé'!K44</f>
        <v>0</v>
      </c>
      <c r="L44" s="263"/>
      <c r="M44" s="264"/>
      <c r="N44" s="265"/>
      <c r="O44" s="264"/>
      <c r="P44" s="266">
        <f t="shared" si="23"/>
        <v>0</v>
      </c>
      <c r="Q44" s="249"/>
      <c r="R44" s="250"/>
      <c r="S44" s="73"/>
    </row>
    <row r="45" spans="2:22" s="121" customFormat="1" ht="24.6" customHeight="1" outlineLevel="1" thickBot="1" x14ac:dyDescent="0.3">
      <c r="B45" s="267"/>
      <c r="C45" s="268"/>
      <c r="E45" s="269"/>
      <c r="F45" s="269"/>
      <c r="G45" s="269"/>
      <c r="H45" s="74" t="s">
        <v>191</v>
      </c>
      <c r="I45" s="270">
        <f>IF(E7=0,0,I35/$E$7)</f>
        <v>250</v>
      </c>
      <c r="J45" s="270">
        <f>IF(E7-E8=0,0,J35/($E$7-$E$8))</f>
        <v>0</v>
      </c>
      <c r="K45" s="230">
        <f>IF($E$8=0,0,K35/$E$8)</f>
        <v>250</v>
      </c>
      <c r="L45" s="218"/>
      <c r="M45" s="218"/>
      <c r="N45" s="218"/>
      <c r="O45" s="218"/>
      <c r="P45" s="218"/>
      <c r="Q45" s="249"/>
      <c r="R45" s="250"/>
      <c r="S45" s="73"/>
      <c r="U45" s="73"/>
      <c r="V45" s="73"/>
    </row>
    <row r="46" spans="2:22" s="73" customFormat="1" ht="21.6" customHeight="1" thickBot="1" x14ac:dyDescent="0.3">
      <c r="B46" s="143" t="s">
        <v>192</v>
      </c>
      <c r="C46" s="144"/>
      <c r="D46" s="145"/>
      <c r="E46" s="145"/>
      <c r="F46" s="145"/>
      <c r="G46" s="145"/>
      <c r="H46" s="271"/>
      <c r="I46" s="272">
        <f t="shared" ref="I46:P46" si="24">I35+I32+I20+I27</f>
        <v>36770.78</v>
      </c>
      <c r="J46" s="272">
        <f t="shared" si="24"/>
        <v>0</v>
      </c>
      <c r="K46" s="273">
        <f t="shared" si="24"/>
        <v>36770.78</v>
      </c>
      <c r="L46" s="272">
        <f t="shared" si="24"/>
        <v>0</v>
      </c>
      <c r="M46" s="272">
        <f t="shared" si="24"/>
        <v>0</v>
      </c>
      <c r="N46" s="272">
        <f t="shared" si="24"/>
        <v>0</v>
      </c>
      <c r="O46" s="272">
        <f t="shared" si="24"/>
        <v>0</v>
      </c>
      <c r="P46" s="274">
        <f t="shared" si="24"/>
        <v>0</v>
      </c>
      <c r="Q46" s="275">
        <f>IF($K$72=0,0,K46/$K$72)</f>
        <v>0.29526936635269363</v>
      </c>
      <c r="R46" s="153" t="s">
        <v>139</v>
      </c>
      <c r="S46" s="276"/>
      <c r="U46" s="70"/>
      <c r="V46" s="121"/>
    </row>
    <row r="47" spans="2:22" s="121" customFormat="1" ht="21" customHeight="1" thickBot="1" x14ac:dyDescent="0.3">
      <c r="B47" s="277"/>
      <c r="C47" s="278"/>
      <c r="D47" s="278"/>
      <c r="E47" s="279"/>
      <c r="F47" s="279"/>
      <c r="G47" s="279"/>
      <c r="H47" s="280" t="s">
        <v>193</v>
      </c>
      <c r="I47" s="228">
        <f>IF(E7=0,0,I46/E7)</f>
        <v>2042.8211111111111</v>
      </c>
      <c r="J47" s="270">
        <f>IF((E7-E8)=0,0,J46/(E7-E8))</f>
        <v>0</v>
      </c>
      <c r="K47" s="281">
        <f>IF(E8=0,0,K46/E8)</f>
        <v>2042.8211111111111</v>
      </c>
      <c r="L47" s="218"/>
      <c r="M47" s="218"/>
      <c r="N47" s="218"/>
      <c r="O47" s="218"/>
      <c r="P47" s="218"/>
      <c r="Q47" s="282"/>
      <c r="R47" s="250"/>
      <c r="S47" s="73"/>
      <c r="T47" s="120"/>
      <c r="U47" s="70"/>
    </row>
    <row r="48" spans="2:22" s="121" customFormat="1" ht="12" customHeight="1" thickBot="1" x14ac:dyDescent="0.3">
      <c r="B48" s="267"/>
      <c r="E48" s="269"/>
      <c r="F48" s="269"/>
      <c r="G48" s="269"/>
      <c r="H48" s="74"/>
      <c r="I48" s="228"/>
      <c r="J48" s="228"/>
      <c r="K48" s="283"/>
      <c r="L48" s="218"/>
      <c r="M48" s="218"/>
      <c r="N48" s="218"/>
      <c r="O48" s="218"/>
      <c r="P48" s="218"/>
      <c r="Q48" s="282"/>
      <c r="R48" s="250"/>
      <c r="S48" s="73"/>
      <c r="T48" s="120"/>
      <c r="U48" s="69"/>
      <c r="V48" s="69"/>
    </row>
    <row r="49" spans="1:22" s="69" customFormat="1" ht="55.8" thickBot="1" x14ac:dyDescent="0.3">
      <c r="B49" s="284" t="s">
        <v>194</v>
      </c>
      <c r="C49" s="285" t="s">
        <v>195</v>
      </c>
      <c r="D49" s="286"/>
      <c r="E49" s="286"/>
      <c r="F49" s="286"/>
      <c r="G49" s="286"/>
      <c r="H49" s="135" t="s">
        <v>196</v>
      </c>
      <c r="I49" s="134" t="s">
        <v>131</v>
      </c>
      <c r="J49" s="135" t="s">
        <v>132</v>
      </c>
      <c r="K49" s="136" t="s">
        <v>197</v>
      </c>
      <c r="L49" s="287" t="str">
        <f>L13</f>
        <v>Lyon 2</v>
      </c>
      <c r="M49" s="135" t="str">
        <f>M13</f>
        <v>Partenaire 1</v>
      </c>
      <c r="N49" s="135" t="str">
        <f>N13</f>
        <v>Partenaire 2</v>
      </c>
      <c r="O49" s="135" t="str">
        <f>O13</f>
        <v>Partenaire 3</v>
      </c>
      <c r="P49" s="140" t="s">
        <v>0</v>
      </c>
      <c r="Q49" s="288"/>
      <c r="R49" s="142"/>
      <c r="U49" s="73"/>
      <c r="V49" s="73"/>
    </row>
    <row r="50" spans="1:22" s="73" customFormat="1" ht="19.95" customHeight="1" thickBot="1" x14ac:dyDescent="0.3">
      <c r="B50" s="143" t="s">
        <v>198</v>
      </c>
      <c r="C50" s="144"/>
      <c r="D50" s="145"/>
      <c r="E50" s="145"/>
      <c r="F50" s="145"/>
      <c r="G50" s="145"/>
      <c r="H50" s="271"/>
      <c r="I50" s="148">
        <f>SUM(I51:I54)</f>
        <v>21528</v>
      </c>
      <c r="J50" s="149">
        <f>SUM(J51:J54)</f>
        <v>0</v>
      </c>
      <c r="K50" s="150">
        <f>SUM(K51:K54)</f>
        <v>21528</v>
      </c>
      <c r="L50" s="148">
        <f t="shared" ref="L50:P50" si="25">SUM(L51:L54)</f>
        <v>0</v>
      </c>
      <c r="M50" s="147">
        <f t="shared" si="25"/>
        <v>0</v>
      </c>
      <c r="N50" s="147">
        <f t="shared" si="25"/>
        <v>0</v>
      </c>
      <c r="O50" s="148">
        <f t="shared" si="25"/>
        <v>0</v>
      </c>
      <c r="P50" s="150">
        <f t="shared" si="25"/>
        <v>0</v>
      </c>
      <c r="Q50" s="183"/>
      <c r="R50" s="289"/>
    </row>
    <row r="51" spans="1:22" s="73" customFormat="1" ht="16.95" customHeight="1" outlineLevel="2" x14ac:dyDescent="0.25">
      <c r="B51" s="290" t="s">
        <v>199</v>
      </c>
      <c r="C51" s="291" t="s">
        <v>200</v>
      </c>
      <c r="D51" s="292"/>
      <c r="E51" s="292"/>
      <c r="F51" s="292"/>
      <c r="G51" s="293"/>
      <c r="H51" s="166">
        <f>'Budget détaillé'!H51</f>
        <v>312</v>
      </c>
      <c r="I51" s="166">
        <f>'Budget détaillé'!I51</f>
        <v>5616</v>
      </c>
      <c r="J51" s="167">
        <f>'Budget détaillé'!J51</f>
        <v>0</v>
      </c>
      <c r="K51" s="168">
        <f>'Budget détaillé'!K51</f>
        <v>5616</v>
      </c>
      <c r="L51" s="294"/>
      <c r="M51" s="295"/>
      <c r="N51" s="295"/>
      <c r="O51" s="296"/>
      <c r="P51" s="170">
        <f>SUM(L51:O51)</f>
        <v>0</v>
      </c>
      <c r="Q51" s="183"/>
      <c r="R51" s="250"/>
      <c r="U51" s="121"/>
      <c r="V51" s="121"/>
    </row>
    <row r="52" spans="1:22" s="121" customFormat="1" ht="18.75" customHeight="1" outlineLevel="2" x14ac:dyDescent="0.25">
      <c r="B52" s="290" t="s">
        <v>201</v>
      </c>
      <c r="C52" s="297" t="s">
        <v>202</v>
      </c>
      <c r="D52" s="298"/>
      <c r="E52" s="298"/>
      <c r="F52" s="298"/>
      <c r="G52" s="299"/>
      <c r="H52" s="166">
        <f>'Budget détaillé'!H52</f>
        <v>708</v>
      </c>
      <c r="I52" s="166">
        <f>'Budget détaillé'!I52</f>
        <v>12744</v>
      </c>
      <c r="J52" s="167">
        <f>'Budget détaillé'!J52</f>
        <v>0</v>
      </c>
      <c r="K52" s="168">
        <f>'Budget détaillé'!K52</f>
        <v>12744</v>
      </c>
      <c r="L52" s="294"/>
      <c r="M52" s="295"/>
      <c r="N52" s="295"/>
      <c r="O52" s="79"/>
      <c r="P52" s="174">
        <f>SUM(L52:O52)</f>
        <v>0</v>
      </c>
      <c r="Q52" s="125"/>
      <c r="R52" s="250"/>
      <c r="S52" s="73"/>
    </row>
    <row r="53" spans="1:22" s="121" customFormat="1" ht="18.75" customHeight="1" outlineLevel="2" x14ac:dyDescent="0.25">
      <c r="B53" s="290" t="s">
        <v>203</v>
      </c>
      <c r="C53" s="115" t="s">
        <v>204</v>
      </c>
      <c r="D53" s="300"/>
      <c r="E53" s="300"/>
      <c r="F53" s="300"/>
      <c r="G53" s="300"/>
      <c r="H53" s="166">
        <f>'Budget détaillé'!H53</f>
        <v>90</v>
      </c>
      <c r="I53" s="166">
        <f>'Budget détaillé'!I53</f>
        <v>1620</v>
      </c>
      <c r="J53" s="167">
        <f>'Budget détaillé'!J53</f>
        <v>0</v>
      </c>
      <c r="K53" s="168">
        <f>'Budget détaillé'!K53</f>
        <v>1620</v>
      </c>
      <c r="L53" s="294"/>
      <c r="M53" s="295"/>
      <c r="N53" s="295"/>
      <c r="O53" s="79"/>
      <c r="P53" s="174">
        <f>SUM(L53:O53)</f>
        <v>0</v>
      </c>
      <c r="Q53" s="125"/>
      <c r="R53" s="250"/>
      <c r="S53" s="73"/>
    </row>
    <row r="54" spans="1:22" s="121" customFormat="1" ht="18.75" customHeight="1" outlineLevel="2" thickBot="1" x14ac:dyDescent="0.3">
      <c r="B54" s="290" t="s">
        <v>205</v>
      </c>
      <c r="C54" s="115" t="s">
        <v>206</v>
      </c>
      <c r="D54" s="300"/>
      <c r="E54" s="300"/>
      <c r="F54" s="300"/>
      <c r="G54" s="300"/>
      <c r="H54" s="166">
        <f>'Budget détaillé'!H54</f>
        <v>86</v>
      </c>
      <c r="I54" s="166">
        <f>'Budget détaillé'!I54</f>
        <v>1548</v>
      </c>
      <c r="J54" s="167">
        <f>'Budget détaillé'!J54</f>
        <v>0</v>
      </c>
      <c r="K54" s="168">
        <f>'Budget détaillé'!K54</f>
        <v>1548</v>
      </c>
      <c r="L54" s="294"/>
      <c r="M54" s="295"/>
      <c r="N54" s="295"/>
      <c r="O54" s="79"/>
      <c r="P54" s="174">
        <f>SUM(L54:O54)</f>
        <v>0</v>
      </c>
      <c r="Q54" s="125"/>
      <c r="R54" s="250"/>
      <c r="S54" s="73"/>
      <c r="U54" s="73"/>
      <c r="V54" s="73"/>
    </row>
    <row r="55" spans="1:22" s="73" customFormat="1" ht="19.2" customHeight="1" thickBot="1" x14ac:dyDescent="0.3">
      <c r="B55" s="143" t="s">
        <v>207</v>
      </c>
      <c r="C55" s="144"/>
      <c r="D55" s="145"/>
      <c r="E55" s="145"/>
      <c r="F55" s="145"/>
      <c r="G55" s="145"/>
      <c r="H55" s="271"/>
      <c r="I55" s="148">
        <f>SUM(I56:I58)</f>
        <v>17352</v>
      </c>
      <c r="J55" s="149">
        <f>SUM(J56:J58)</f>
        <v>0</v>
      </c>
      <c r="K55" s="150">
        <f>SUM(K56:K58)</f>
        <v>17352</v>
      </c>
      <c r="L55" s="148">
        <f t="shared" ref="L55:P55" si="26">SUM(L56:L58)</f>
        <v>0</v>
      </c>
      <c r="M55" s="147">
        <f t="shared" si="26"/>
        <v>0</v>
      </c>
      <c r="N55" s="147">
        <f t="shared" si="26"/>
        <v>0</v>
      </c>
      <c r="O55" s="148">
        <f t="shared" si="26"/>
        <v>0</v>
      </c>
      <c r="P55" s="150">
        <f t="shared" si="26"/>
        <v>0</v>
      </c>
      <c r="Q55" s="301"/>
      <c r="R55" s="250"/>
    </row>
    <row r="56" spans="1:22" s="73" customFormat="1" ht="16.95" customHeight="1" outlineLevel="1" x14ac:dyDescent="0.25">
      <c r="B56" s="97" t="s">
        <v>208</v>
      </c>
      <c r="C56" s="251" t="s">
        <v>209</v>
      </c>
      <c r="D56" s="252"/>
      <c r="E56" s="252"/>
      <c r="F56" s="252"/>
      <c r="G56" s="252"/>
      <c r="H56" s="166">
        <f>'Budget détaillé'!H56</f>
        <v>222</v>
      </c>
      <c r="I56" s="166">
        <f>'Budget détaillé'!I56</f>
        <v>3996</v>
      </c>
      <c r="J56" s="167">
        <f>'Budget détaillé'!J56</f>
        <v>0</v>
      </c>
      <c r="K56" s="168">
        <f>'Budget détaillé'!K56</f>
        <v>3996</v>
      </c>
      <c r="L56" s="294"/>
      <c r="M56" s="295"/>
      <c r="N56" s="295"/>
      <c r="O56" s="79"/>
      <c r="P56" s="174">
        <f>SUM(L56:O56)</f>
        <v>0</v>
      </c>
      <c r="Q56" s="125"/>
      <c r="R56" s="302"/>
    </row>
    <row r="57" spans="1:22" s="73" customFormat="1" ht="16.95" customHeight="1" outlineLevel="1" x14ac:dyDescent="0.25">
      <c r="B57" s="97" t="s">
        <v>210</v>
      </c>
      <c r="C57" s="251" t="s">
        <v>211</v>
      </c>
      <c r="D57" s="252"/>
      <c r="E57" s="252"/>
      <c r="F57" s="252"/>
      <c r="G57" s="252"/>
      <c r="H57" s="166">
        <f>'Budget détaillé'!H57</f>
        <v>550</v>
      </c>
      <c r="I57" s="166">
        <f>'Budget détaillé'!I57</f>
        <v>9900</v>
      </c>
      <c r="J57" s="167">
        <f>'Budget détaillé'!J57</f>
        <v>0</v>
      </c>
      <c r="K57" s="168">
        <f>'Budget détaillé'!K57</f>
        <v>9900</v>
      </c>
      <c r="L57" s="294"/>
      <c r="M57" s="295"/>
      <c r="N57" s="295"/>
      <c r="O57" s="79"/>
      <c r="P57" s="174">
        <f>SUM(L57:O57)</f>
        <v>0</v>
      </c>
      <c r="Q57" s="125"/>
      <c r="R57" s="250"/>
    </row>
    <row r="58" spans="1:22" s="73" customFormat="1" ht="16.95" customHeight="1" outlineLevel="1" thickBot="1" x14ac:dyDescent="0.3">
      <c r="B58" s="97" t="s">
        <v>212</v>
      </c>
      <c r="C58" s="251" t="s">
        <v>213</v>
      </c>
      <c r="D58" s="252"/>
      <c r="E58" s="252"/>
      <c r="F58" s="252"/>
      <c r="G58" s="252"/>
      <c r="H58" s="166">
        <f>'Budget détaillé'!H58</f>
        <v>192</v>
      </c>
      <c r="I58" s="166">
        <f>'Budget détaillé'!I58</f>
        <v>3456</v>
      </c>
      <c r="J58" s="167">
        <f>'Budget détaillé'!J58</f>
        <v>0</v>
      </c>
      <c r="K58" s="168">
        <f>'Budget détaillé'!K58</f>
        <v>3456</v>
      </c>
      <c r="L58" s="294"/>
      <c r="M58" s="295"/>
      <c r="N58" s="295"/>
      <c r="O58" s="79"/>
      <c r="P58" s="174">
        <f>SUM(L58:O58)</f>
        <v>0</v>
      </c>
      <c r="Q58" s="125"/>
      <c r="R58" s="250"/>
    </row>
    <row r="59" spans="1:22" s="73" customFormat="1" ht="21.6" customHeight="1" thickBot="1" x14ac:dyDescent="0.3">
      <c r="B59" s="143" t="s">
        <v>214</v>
      </c>
      <c r="C59" s="144"/>
      <c r="D59" s="145"/>
      <c r="E59" s="145"/>
      <c r="F59" s="145"/>
      <c r="G59" s="145"/>
      <c r="H59" s="271"/>
      <c r="I59" s="148">
        <f>I50+I55</f>
        <v>38880</v>
      </c>
      <c r="J59" s="149">
        <f>J50+J55</f>
        <v>0</v>
      </c>
      <c r="K59" s="150">
        <f>K50+K55</f>
        <v>38880</v>
      </c>
      <c r="L59" s="148">
        <f t="shared" ref="L59:P59" si="27">L50+L55</f>
        <v>0</v>
      </c>
      <c r="M59" s="147">
        <f t="shared" si="27"/>
        <v>0</v>
      </c>
      <c r="N59" s="147">
        <f t="shared" si="27"/>
        <v>0</v>
      </c>
      <c r="O59" s="148">
        <f t="shared" si="27"/>
        <v>0</v>
      </c>
      <c r="P59" s="150">
        <f t="shared" si="27"/>
        <v>0</v>
      </c>
      <c r="Q59" s="152">
        <f>IF($K$72=0,0,K59/$K$72)</f>
        <v>0.31220640312206405</v>
      </c>
      <c r="R59" s="303" t="s">
        <v>139</v>
      </c>
      <c r="S59" s="304">
        <f>IF((K59+K46)=0,0,K59/(K59+K46))</f>
        <v>0.51394050398422864</v>
      </c>
      <c r="T59" s="153" t="s">
        <v>215</v>
      </c>
      <c r="U59" s="70"/>
    </row>
    <row r="60" spans="1:22" ht="21" customHeight="1" thickBot="1" x14ac:dyDescent="0.3">
      <c r="A60" s="73"/>
      <c r="B60" s="277"/>
      <c r="C60" s="305"/>
      <c r="D60" s="305"/>
      <c r="E60" s="279"/>
      <c r="F60" s="279"/>
      <c r="G60" s="279"/>
      <c r="H60" s="74" t="s">
        <v>216</v>
      </c>
      <c r="I60" s="270">
        <f>IF(E7=0,0,I59/E7)</f>
        <v>2160</v>
      </c>
      <c r="J60" s="270">
        <f>IF((E7-E8)=0,0,J59/(E7-E8))</f>
        <v>0</v>
      </c>
      <c r="K60" s="281">
        <f>IF(E8=0,0,K59/E8)</f>
        <v>2160</v>
      </c>
      <c r="L60" s="218"/>
      <c r="M60" s="218"/>
      <c r="N60" s="218"/>
      <c r="O60" s="218"/>
      <c r="P60" s="218"/>
      <c r="Q60" s="73"/>
      <c r="R60" s="73"/>
      <c r="S60" s="73"/>
      <c r="T60" s="120"/>
      <c r="U60" s="73"/>
      <c r="V60" s="73"/>
    </row>
    <row r="61" spans="1:22" s="73" customFormat="1" ht="13.2" customHeight="1" thickBot="1" x14ac:dyDescent="0.3">
      <c r="B61" s="306"/>
      <c r="C61" s="307"/>
      <c r="D61" s="307"/>
      <c r="E61" s="307"/>
      <c r="F61" s="307"/>
      <c r="G61" s="307"/>
      <c r="H61" s="307"/>
      <c r="I61" s="308"/>
      <c r="J61" s="308"/>
      <c r="K61" s="309"/>
      <c r="L61" s="310"/>
      <c r="M61" s="310"/>
      <c r="N61" s="310"/>
      <c r="O61" s="310"/>
      <c r="P61" s="310"/>
      <c r="Q61" s="311"/>
      <c r="R61" s="69"/>
    </row>
    <row r="62" spans="1:22" s="73" customFormat="1" ht="24.6" customHeight="1" thickBot="1" x14ac:dyDescent="0.3">
      <c r="B62" s="312" t="s">
        <v>217</v>
      </c>
      <c r="C62" s="312"/>
      <c r="D62" s="313"/>
      <c r="E62" s="314"/>
      <c r="F62" s="313"/>
      <c r="G62" s="315"/>
      <c r="H62" s="316"/>
      <c r="I62" s="317">
        <f>I59+I46</f>
        <v>75650.78</v>
      </c>
      <c r="J62" s="317">
        <f>J59+J46</f>
        <v>0</v>
      </c>
      <c r="K62" s="318">
        <f>K59+K46</f>
        <v>75650.78</v>
      </c>
      <c r="L62" s="317">
        <f t="shared" ref="L62:O62" si="28">L59+L46</f>
        <v>0</v>
      </c>
      <c r="M62" s="317">
        <f t="shared" si="28"/>
        <v>0</v>
      </c>
      <c r="N62" s="317">
        <f t="shared" si="28"/>
        <v>0</v>
      </c>
      <c r="O62" s="317">
        <f t="shared" si="28"/>
        <v>0</v>
      </c>
      <c r="P62" s="318">
        <f>P59+P46</f>
        <v>0</v>
      </c>
      <c r="Q62" s="152">
        <f>IF($K$72=0,0,K62/$K$72)</f>
        <v>0.60747576947475768</v>
      </c>
      <c r="R62" s="153" t="s">
        <v>139</v>
      </c>
      <c r="U62" s="121"/>
      <c r="V62" s="121"/>
    </row>
    <row r="63" spans="1:22" s="121" customFormat="1" ht="18.75" customHeight="1" x14ac:dyDescent="0.25">
      <c r="B63" s="211"/>
      <c r="C63" s="292"/>
      <c r="D63" s="319"/>
      <c r="E63" s="319"/>
      <c r="F63" s="319"/>
      <c r="G63" s="320"/>
      <c r="H63" s="320" t="s">
        <v>218</v>
      </c>
      <c r="I63" s="321">
        <f>IF(E7=0,0,I62/$E$7)</f>
        <v>4202.8211111111113</v>
      </c>
      <c r="J63" s="322">
        <f>IF(($E$7-$E$8)=0,0,J62/($E$7-$E$8))</f>
        <v>0</v>
      </c>
      <c r="K63" s="323">
        <f>IF(E8=0,0,K62/$E$8)</f>
        <v>4202.8211111111113</v>
      </c>
      <c r="L63" s="324"/>
      <c r="M63" s="324"/>
      <c r="N63" s="324"/>
      <c r="O63" s="325"/>
      <c r="P63" s="325"/>
      <c r="Q63" s="125"/>
      <c r="R63" s="250"/>
      <c r="S63" s="73"/>
    </row>
    <row r="64" spans="1:22" s="121" customFormat="1" ht="18.600000000000001" customHeight="1" thickBot="1" x14ac:dyDescent="0.3">
      <c r="B64" s="223"/>
      <c r="C64" s="326"/>
      <c r="D64" s="327"/>
      <c r="E64" s="327"/>
      <c r="F64" s="327"/>
      <c r="G64" s="328"/>
      <c r="H64" s="328" t="s">
        <v>219</v>
      </c>
      <c r="I64" s="261">
        <f t="shared" ref="I64:P64" si="29">IF(I33=0,0,I62/I33)</f>
        <v>104.99761276891047</v>
      </c>
      <c r="J64" s="261">
        <f t="shared" si="29"/>
        <v>0</v>
      </c>
      <c r="K64" s="261">
        <f t="shared" si="29"/>
        <v>104.99761276891047</v>
      </c>
      <c r="L64" s="261">
        <f t="shared" si="29"/>
        <v>0</v>
      </c>
      <c r="M64" s="261">
        <f t="shared" si="29"/>
        <v>0</v>
      </c>
      <c r="N64" s="261">
        <f t="shared" si="29"/>
        <v>0</v>
      </c>
      <c r="O64" s="261">
        <f t="shared" si="29"/>
        <v>0</v>
      </c>
      <c r="P64" s="370">
        <f t="shared" si="29"/>
        <v>0</v>
      </c>
      <c r="Q64" s="371"/>
      <c r="R64" s="250"/>
      <c r="S64" s="73"/>
      <c r="U64" s="73"/>
      <c r="V64" s="73"/>
    </row>
    <row r="65" spans="2:24" ht="14.4" thickBot="1" x14ac:dyDescent="0.3">
      <c r="B65" s="329"/>
      <c r="C65" s="329"/>
      <c r="D65" s="329"/>
      <c r="E65" s="329"/>
      <c r="F65" s="73"/>
      <c r="G65" s="73"/>
      <c r="H65" s="73"/>
      <c r="I65" s="73"/>
      <c r="J65" s="73"/>
      <c r="K65" s="73"/>
      <c r="L65" s="73"/>
      <c r="M65" s="73"/>
      <c r="N65" s="73"/>
      <c r="O65" s="73"/>
      <c r="P65" s="73"/>
      <c r="Q65" s="330"/>
      <c r="R65" s="69"/>
      <c r="S65" s="73"/>
      <c r="T65" s="73"/>
      <c r="U65" s="69"/>
      <c r="V65" s="73"/>
      <c r="W65" s="73"/>
      <c r="X65" s="73"/>
    </row>
    <row r="66" spans="2:24" ht="24.6" customHeight="1" thickBot="1" x14ac:dyDescent="0.3">
      <c r="B66" s="521" t="s">
        <v>220</v>
      </c>
      <c r="C66" s="522"/>
      <c r="D66" s="522"/>
      <c r="E66" s="522"/>
      <c r="F66" s="522"/>
      <c r="G66" s="522"/>
      <c r="H66" s="522"/>
      <c r="I66" s="522"/>
      <c r="J66" s="522"/>
      <c r="K66" s="523"/>
      <c r="L66" s="126"/>
      <c r="M66" s="127"/>
      <c r="N66" s="127"/>
      <c r="O66" s="127"/>
      <c r="P66" s="128"/>
      <c r="Q66" s="69"/>
      <c r="R66" s="69"/>
      <c r="S66" s="73"/>
      <c r="T66" s="69"/>
      <c r="U66" s="73"/>
      <c r="V66" s="73"/>
      <c r="W66" s="73"/>
      <c r="X66" s="73"/>
    </row>
    <row r="67" spans="2:24" ht="7.5" customHeight="1" thickBot="1" x14ac:dyDescent="0.3">
      <c r="B67" s="331"/>
      <c r="C67" s="73"/>
      <c r="D67" s="73"/>
      <c r="E67" s="73"/>
      <c r="F67" s="73"/>
      <c r="G67" s="73"/>
      <c r="H67" s="110"/>
      <c r="I67" s="332"/>
      <c r="J67" s="332"/>
      <c r="K67" s="333"/>
      <c r="L67" s="334"/>
      <c r="M67" s="334"/>
      <c r="N67" s="334"/>
      <c r="O67" s="334"/>
      <c r="P67" s="334"/>
      <c r="Q67" s="71"/>
      <c r="R67" s="69"/>
      <c r="S67" s="73"/>
      <c r="T67" s="73"/>
      <c r="U67" s="69"/>
      <c r="V67" s="69"/>
      <c r="W67" s="73"/>
      <c r="X67" s="73"/>
    </row>
    <row r="68" spans="2:24" s="69" customFormat="1" ht="55.8" thickBot="1" x14ac:dyDescent="0.3">
      <c r="B68" s="284" t="s">
        <v>221</v>
      </c>
      <c r="C68" s="285" t="s">
        <v>222</v>
      </c>
      <c r="D68" s="286"/>
      <c r="E68" s="286"/>
      <c r="F68" s="286"/>
      <c r="G68" s="286"/>
      <c r="H68" s="335"/>
      <c r="I68" s="336" t="s">
        <v>131</v>
      </c>
      <c r="J68" s="135" t="s">
        <v>132</v>
      </c>
      <c r="K68" s="136" t="s">
        <v>197</v>
      </c>
      <c r="L68" s="287" t="s">
        <v>134</v>
      </c>
      <c r="M68" s="134" t="s">
        <v>135</v>
      </c>
      <c r="N68" s="134" t="s">
        <v>136</v>
      </c>
      <c r="O68" s="337" t="s">
        <v>137</v>
      </c>
      <c r="P68" s="338" t="s">
        <v>0</v>
      </c>
      <c r="Q68" s="288"/>
      <c r="R68" s="142"/>
      <c r="U68" s="73"/>
      <c r="V68" s="73"/>
    </row>
    <row r="69" spans="2:24" ht="24" customHeight="1" x14ac:dyDescent="0.25">
      <c r="B69" s="239" t="s">
        <v>223</v>
      </c>
      <c r="C69" s="291" t="s">
        <v>224</v>
      </c>
      <c r="D69" s="339"/>
      <c r="E69" s="339"/>
      <c r="F69" s="339"/>
      <c r="G69" s="339"/>
      <c r="H69" s="340"/>
      <c r="I69" s="341">
        <f>J69+K69</f>
        <v>118533</v>
      </c>
      <c r="J69" s="341">
        <f>'Recettes et simulat'!G16</f>
        <v>0</v>
      </c>
      <c r="K69" s="342">
        <f>'Recettes et simulat'!J28</f>
        <v>118533</v>
      </c>
      <c r="L69" s="245"/>
      <c r="M69" s="246"/>
      <c r="N69" s="343"/>
      <c r="O69" s="343"/>
      <c r="P69" s="248">
        <f>SUM(L69:O69)</f>
        <v>0</v>
      </c>
      <c r="Q69" s="69"/>
      <c r="R69" s="69"/>
      <c r="S69" s="73"/>
      <c r="T69" s="73"/>
      <c r="U69" s="73"/>
      <c r="V69" s="73"/>
      <c r="W69" s="73"/>
      <c r="X69" s="69"/>
    </row>
    <row r="70" spans="2:24" ht="27" customHeight="1" thickBot="1" x14ac:dyDescent="0.3">
      <c r="B70" s="256" t="s">
        <v>225</v>
      </c>
      <c r="C70" s="257" t="s">
        <v>226</v>
      </c>
      <c r="D70" s="344"/>
      <c r="E70" s="344"/>
      <c r="F70" s="344"/>
      <c r="G70" s="344"/>
      <c r="H70" s="345"/>
      <c r="I70" s="346">
        <f>J70+K70</f>
        <v>6000</v>
      </c>
      <c r="J70" s="347"/>
      <c r="K70" s="348">
        <f>'Recettes et simulat'!F39</f>
        <v>6000</v>
      </c>
      <c r="L70" s="263"/>
      <c r="M70" s="264"/>
      <c r="N70" s="264"/>
      <c r="O70" s="349"/>
      <c r="P70" s="266">
        <f>SUM(L70:O70)</f>
        <v>0</v>
      </c>
      <c r="Q70" s="69"/>
      <c r="R70" s="69"/>
      <c r="S70" s="73"/>
      <c r="T70" s="73"/>
      <c r="U70" s="73"/>
      <c r="V70" s="73"/>
      <c r="W70" s="73"/>
      <c r="X70" s="69"/>
    </row>
    <row r="71" spans="2:24" ht="11.4" customHeight="1" thickBot="1" x14ac:dyDescent="0.3">
      <c r="B71" s="350"/>
      <c r="C71" s="351"/>
      <c r="D71" s="352"/>
      <c r="E71" s="351"/>
      <c r="F71" s="352"/>
      <c r="G71" s="352"/>
      <c r="H71" s="352"/>
      <c r="I71" s="353"/>
      <c r="J71" s="353"/>
      <c r="K71" s="354"/>
      <c r="L71" s="353"/>
      <c r="M71" s="353"/>
      <c r="N71" s="353"/>
      <c r="O71" s="353"/>
      <c r="P71" s="353"/>
      <c r="Q71" s="355"/>
      <c r="R71" s="356"/>
      <c r="S71" s="357"/>
      <c r="T71" s="73"/>
      <c r="U71" s="73"/>
      <c r="V71" s="73"/>
      <c r="W71" s="73"/>
      <c r="X71" s="69"/>
    </row>
    <row r="72" spans="2:24" s="73" customFormat="1" ht="24.6" customHeight="1" thickBot="1" x14ac:dyDescent="0.3">
      <c r="B72" s="312" t="s">
        <v>227</v>
      </c>
      <c r="C72" s="312"/>
      <c r="D72" s="313"/>
      <c r="E72" s="314"/>
      <c r="F72" s="313"/>
      <c r="G72" s="315"/>
      <c r="H72" s="316"/>
      <c r="I72" s="317">
        <f>I69+I70</f>
        <v>124533</v>
      </c>
      <c r="J72" s="317">
        <f>J69+J70</f>
        <v>0</v>
      </c>
      <c r="K72" s="318">
        <f>K69+K70</f>
        <v>124533</v>
      </c>
      <c r="L72" s="317">
        <f t="shared" ref="L72:O72" si="30">L69+L70</f>
        <v>0</v>
      </c>
      <c r="M72" s="317">
        <f t="shared" si="30"/>
        <v>0</v>
      </c>
      <c r="N72" s="317">
        <f t="shared" si="30"/>
        <v>0</v>
      </c>
      <c r="O72" s="317">
        <f t="shared" si="30"/>
        <v>0</v>
      </c>
      <c r="P72" s="318">
        <f>P69+P70</f>
        <v>0</v>
      </c>
      <c r="U72" s="121"/>
      <c r="V72" s="121"/>
      <c r="X72" s="69"/>
    </row>
    <row r="73" spans="2:24" s="121" customFormat="1" ht="18" customHeight="1" thickBot="1" x14ac:dyDescent="0.3">
      <c r="B73" s="277"/>
      <c r="C73" s="305"/>
      <c r="D73" s="358"/>
      <c r="E73" s="358"/>
      <c r="F73" s="358"/>
      <c r="G73" s="359"/>
      <c r="H73" s="359" t="s">
        <v>228</v>
      </c>
      <c r="I73" s="360"/>
      <c r="J73" s="360"/>
      <c r="K73" s="361">
        <f>IF(E8=0,0,K72/$E$8)</f>
        <v>6918.5</v>
      </c>
      <c r="L73" s="324"/>
      <c r="M73" s="324"/>
      <c r="N73" s="324"/>
      <c r="O73" s="325"/>
      <c r="P73" s="325"/>
      <c r="Q73" s="125"/>
      <c r="R73" s="250"/>
      <c r="S73" s="73"/>
    </row>
    <row r="74" spans="2:24" s="73" customFormat="1" ht="14.4" thickBot="1" x14ac:dyDescent="0.3">
      <c r="C74" s="329"/>
      <c r="D74" s="329"/>
      <c r="E74" s="329"/>
      <c r="F74" s="329"/>
      <c r="G74" s="329"/>
      <c r="H74" s="329"/>
      <c r="I74" s="362"/>
      <c r="J74" s="362"/>
      <c r="K74" s="362"/>
      <c r="L74" s="362"/>
      <c r="M74" s="362"/>
      <c r="N74" s="362"/>
      <c r="O74" s="362"/>
      <c r="P74" s="362"/>
      <c r="Q74" s="70"/>
      <c r="R74" s="69"/>
    </row>
    <row r="75" spans="2:24" s="73" customFormat="1" ht="24.6" customHeight="1" thickBot="1" x14ac:dyDescent="0.3">
      <c r="B75" s="312" t="s">
        <v>229</v>
      </c>
      <c r="C75" s="312"/>
      <c r="D75" s="313"/>
      <c r="E75" s="314"/>
      <c r="F75" s="313"/>
      <c r="G75" s="315"/>
      <c r="H75" s="316"/>
      <c r="I75" s="317">
        <f t="shared" ref="I75:P75" si="31">I72-I62</f>
        <v>48882.22</v>
      </c>
      <c r="J75" s="317">
        <f t="shared" si="31"/>
        <v>0</v>
      </c>
      <c r="K75" s="318">
        <f t="shared" si="31"/>
        <v>48882.22</v>
      </c>
      <c r="L75" s="317">
        <f t="shared" si="31"/>
        <v>0</v>
      </c>
      <c r="M75" s="317">
        <f t="shared" si="31"/>
        <v>0</v>
      </c>
      <c r="N75" s="317">
        <f t="shared" si="31"/>
        <v>0</v>
      </c>
      <c r="O75" s="317">
        <f t="shared" si="31"/>
        <v>0</v>
      </c>
      <c r="P75" s="318">
        <f t="shared" si="31"/>
        <v>0</v>
      </c>
      <c r="Q75" s="152">
        <f>IF($K$72=0,0,K75/$K$72)</f>
        <v>0.39252423052524232</v>
      </c>
      <c r="R75" s="153" t="s">
        <v>139</v>
      </c>
      <c r="U75" s="121"/>
      <c r="V75" s="121"/>
      <c r="X75" s="69"/>
    </row>
    <row r="76" spans="2:24" ht="13.8" x14ac:dyDescent="0.25">
      <c r="B76" s="73"/>
      <c r="C76" s="73"/>
      <c r="D76" s="73"/>
      <c r="E76" s="73"/>
      <c r="F76" s="73"/>
      <c r="G76" s="73"/>
      <c r="H76" s="110"/>
      <c r="I76" s="111"/>
      <c r="J76" s="112"/>
      <c r="K76" s="110"/>
      <c r="L76" s="110"/>
      <c r="M76" s="110"/>
      <c r="N76" s="110"/>
      <c r="O76" s="110"/>
      <c r="P76" s="110"/>
      <c r="Q76" s="69"/>
      <c r="R76" s="69"/>
      <c r="S76" s="73"/>
      <c r="T76" s="73"/>
      <c r="U76" s="73"/>
      <c r="V76" s="73"/>
      <c r="W76" s="73"/>
      <c r="X76" s="73"/>
    </row>
  </sheetData>
  <sheetProtection algorithmName="SHA-512" hashValue="G4d7FLqAtRFTzC+c3/TnR/472nqol0dZaAGxPl58YNSERkV16YWqqsJ4mR9fpzjX4dZWPdco6IAPLwSdxZtgjA==" saltValue="1QKHKwdcMUePZ32pGUt1zA==" spinCount="100000" sheet="1" autoFilter="0"/>
  <mergeCells count="23">
    <mergeCell ref="B27:F27"/>
    <mergeCell ref="C29:F29"/>
    <mergeCell ref="C30:F30"/>
    <mergeCell ref="B32:F32"/>
    <mergeCell ref="B66:K66"/>
    <mergeCell ref="C26:F26"/>
    <mergeCell ref="H7:K7"/>
    <mergeCell ref="B11:K11"/>
    <mergeCell ref="C13:F13"/>
    <mergeCell ref="C16:F16"/>
    <mergeCell ref="C17:F17"/>
    <mergeCell ref="C18:F18"/>
    <mergeCell ref="C19:F19"/>
    <mergeCell ref="B20:F20"/>
    <mergeCell ref="C23:F23"/>
    <mergeCell ref="C24:F24"/>
    <mergeCell ref="C25:F25"/>
    <mergeCell ref="B2:K2"/>
    <mergeCell ref="L2:P2"/>
    <mergeCell ref="D5:E5"/>
    <mergeCell ref="H5:K5"/>
    <mergeCell ref="D6:E6"/>
    <mergeCell ref="H6:K6"/>
  </mergeCells>
  <printOptions horizontalCentered="1" verticalCentered="1"/>
  <pageMargins left="0.25" right="0.25" top="0.75" bottom="0.75" header="0.3" footer="0.3"/>
  <pageSetup paperSize="8" scale="56" orientation="portrait" r:id="rId1"/>
  <headerFooter alignWithMargins="0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316D3A7D7A78047BCBC90274DC2729C" ma:contentTypeVersion="2" ma:contentTypeDescription="Crée un document." ma:contentTypeScope="" ma:versionID="568103ec7edb9a17c2b52ad574148d24">
  <xsd:schema xmlns:xsd="http://www.w3.org/2001/XMLSchema" xmlns:xs="http://www.w3.org/2001/XMLSchema" xmlns:p="http://schemas.microsoft.com/office/2006/metadata/properties" xmlns:ns2="fe0570b7-b4d9-4894-87d1-8db0ec43d3b0" targetNamespace="http://schemas.microsoft.com/office/2006/metadata/properties" ma:root="true" ma:fieldsID="8bb1ab061cbdc3ca29edf8bfa1985ca5" ns2:_="">
    <xsd:import namespace="fe0570b7-b4d9-4894-87d1-8db0ec43d3b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0570b7-b4d9-4894-87d1-8db0ec43d3b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015B102-18AF-43B5-87E9-BD39591D3030}">
  <ds:schemaRefs>
    <ds:schemaRef ds:uri="http://purl.org/dc/terms/"/>
    <ds:schemaRef ds:uri="http://purl.org/dc/elements/1.1/"/>
    <ds:schemaRef ds:uri="fe0570b7-b4d9-4894-87d1-8db0ec43d3b0"/>
    <ds:schemaRef ds:uri="http://schemas.microsoft.com/office/2006/documentManagement/types"/>
    <ds:schemaRef ds:uri="http://purl.org/dc/dcmitype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51844A6C-432A-401C-996B-A8F9C7CDB9C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e0570b7-b4d9-4894-87d1-8db0ec43d3b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33C7C1F-BC30-4735-AD60-B9BB9904B02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Enseignements</vt:lpstr>
      <vt:lpstr>Recettes et simulat</vt:lpstr>
      <vt:lpstr>Budget détaillé</vt:lpstr>
      <vt:lpstr>Paramétrage</vt:lpstr>
      <vt:lpstr>Budget détaillé heures comp</vt:lpstr>
    </vt:vector>
  </TitlesOfParts>
  <Manager/>
  <Company>R.R.A.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Agathe Valley</dc:creator>
  <cp:keywords/>
  <dc:description/>
  <cp:lastModifiedBy>amercier</cp:lastModifiedBy>
  <cp:revision/>
  <dcterms:created xsi:type="dcterms:W3CDTF">2001-05-25T13:39:11Z</dcterms:created>
  <dcterms:modified xsi:type="dcterms:W3CDTF">2022-04-25T09:49:35Z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0x0101003316D3A7D7A78047BCBC90274DC2729C</vt:lpwstr>
  </property>
</Properties>
</file>